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6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leonardobertini/PycharmProjects/ThesisChapter5/Data/"/>
    </mc:Choice>
  </mc:AlternateContent>
  <xr:revisionPtr revIDLastSave="0" documentId="13_ncr:1_{B3C13384-F072-2247-B715-D98D791A830C}" xr6:coauthVersionLast="47" xr6:coauthVersionMax="47" xr10:uidLastSave="{00000000-0000-0000-0000-000000000000}"/>
  <bookViews>
    <workbookView xWindow="-31020" yWindow="-10560" windowWidth="27240" windowHeight="16260" xr2:uid="{91C7FA85-F8CA-AB48-BD3B-B5886CEE2FF6}"/>
  </bookViews>
  <sheets>
    <sheet name="Tables and Budgets" sheetId="1" r:id="rId1"/>
  </sheets>
  <externalReferences>
    <externalReference r:id="rId2"/>
    <externalReference r:id="rId3"/>
    <externalReference r:id="rId4"/>
  </externalReferenc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38" i="1" l="1"/>
  <c r="E66" i="1"/>
  <c r="D66" i="1"/>
  <c r="C66" i="1"/>
  <c r="E58" i="1"/>
  <c r="F58" i="1" s="1"/>
  <c r="D58" i="1"/>
  <c r="E57" i="1"/>
  <c r="F57" i="1" s="1"/>
  <c r="D57" i="1"/>
  <c r="C57" i="1"/>
  <c r="D56" i="1"/>
  <c r="C56" i="1"/>
  <c r="D48" i="1"/>
  <c r="C48" i="1"/>
  <c r="Q42" i="1"/>
  <c r="O42" i="1"/>
  <c r="M42" i="1"/>
  <c r="L42" i="1"/>
  <c r="K42" i="1"/>
  <c r="J42" i="1"/>
  <c r="F34" i="1"/>
  <c r="E34" i="1"/>
  <c r="F33" i="1"/>
  <c r="E33" i="1"/>
  <c r="R30" i="1"/>
  <c r="Q30" i="1"/>
  <c r="P30" i="1"/>
  <c r="O30" i="1"/>
  <c r="N30" i="1"/>
  <c r="M30" i="1"/>
  <c r="L30" i="1"/>
  <c r="K30" i="1"/>
  <c r="J30" i="1"/>
  <c r="F28" i="1"/>
  <c r="Q9" i="1" s="1"/>
  <c r="E28" i="1"/>
  <c r="Q24" i="1"/>
  <c r="Q41" i="1" s="1"/>
  <c r="O24" i="1"/>
  <c r="M24" i="1"/>
  <c r="L24" i="1"/>
  <c r="K24" i="1"/>
  <c r="J24" i="1"/>
  <c r="J23" i="1"/>
  <c r="Q22" i="1"/>
  <c r="Q39" i="1" s="1"/>
  <c r="O22" i="1"/>
  <c r="M22" i="1"/>
  <c r="L22" i="1"/>
  <c r="J22" i="1"/>
  <c r="E22" i="1"/>
  <c r="O31" i="1" s="1"/>
  <c r="Q19" i="1"/>
  <c r="Q23" i="1" s="1"/>
  <c r="Q40" i="1" s="1"/>
  <c r="O19" i="1"/>
  <c r="O23" i="1" s="1"/>
  <c r="M19" i="1"/>
  <c r="M23" i="1" s="1"/>
  <c r="L19" i="1"/>
  <c r="L23" i="1" s="1"/>
  <c r="K19" i="1"/>
  <c r="K23" i="1" s="1"/>
  <c r="O13" i="1"/>
  <c r="O9" i="1"/>
  <c r="O11" i="1" s="1"/>
  <c r="O12" i="1" s="1"/>
  <c r="M9" i="1"/>
  <c r="M33" i="1" s="1"/>
  <c r="L9" i="1"/>
  <c r="L31" i="1" s="1"/>
  <c r="K9" i="1"/>
  <c r="K25" i="1" s="1"/>
  <c r="J9" i="1"/>
  <c r="J10" i="1" s="1"/>
  <c r="K7" i="1"/>
  <c r="K6" i="1"/>
  <c r="Q31" i="1" l="1"/>
  <c r="Q10" i="1"/>
  <c r="Q13" i="1"/>
  <c r="P31" i="1"/>
  <c r="E56" i="1"/>
  <c r="K11" i="1"/>
  <c r="K12" i="1" s="1"/>
  <c r="K13" i="1"/>
  <c r="N31" i="1"/>
  <c r="N32" i="1" s="1"/>
  <c r="L33" i="1"/>
  <c r="L32" i="1"/>
  <c r="L34" i="1" s="1"/>
  <c r="Q33" i="1"/>
  <c r="Q32" i="1"/>
  <c r="Q34" i="1" s="1"/>
  <c r="F56" i="1"/>
  <c r="R31" i="1"/>
  <c r="L39" i="1"/>
  <c r="L40" i="1"/>
  <c r="O32" i="1"/>
  <c r="O40" i="1" s="1"/>
  <c r="O33" i="1"/>
  <c r="Q45" i="1"/>
  <c r="L41" i="1"/>
  <c r="J31" i="1"/>
  <c r="Q25" i="1"/>
  <c r="Q46" i="1" s="1"/>
  <c r="K10" i="1"/>
  <c r="L10" i="1"/>
  <c r="K31" i="1"/>
  <c r="L25" i="1"/>
  <c r="L38" i="1" s="1"/>
  <c r="M11" i="1"/>
  <c r="M12" i="1" s="1"/>
  <c r="J25" i="1"/>
  <c r="M10" i="1"/>
  <c r="O10" i="1"/>
  <c r="M13" i="1"/>
  <c r="M31" i="1"/>
  <c r="M32" i="1"/>
  <c r="M34" i="1" s="1"/>
  <c r="M25" i="1"/>
  <c r="O25" i="1"/>
  <c r="P33" i="1" l="1"/>
  <c r="P32" i="1"/>
  <c r="P35" i="1" s="1"/>
  <c r="N33" i="1"/>
  <c r="N35" i="1" s="1"/>
  <c r="O34" i="1"/>
  <c r="O38" i="1"/>
  <c r="O43" i="1" s="1"/>
  <c r="O41" i="1"/>
  <c r="O46" i="1" s="1"/>
  <c r="L43" i="1"/>
  <c r="U38" i="1" s="1"/>
  <c r="O45" i="1"/>
  <c r="Q38" i="1"/>
  <c r="Q44" i="1"/>
  <c r="L44" i="1"/>
  <c r="U39" i="1"/>
  <c r="O39" i="1"/>
  <c r="M39" i="1"/>
  <c r="K33" i="1"/>
  <c r="K32" i="1"/>
  <c r="J33" i="1"/>
  <c r="S55" i="1" s="1"/>
  <c r="J32" i="1"/>
  <c r="R33" i="1"/>
  <c r="S54" i="1" s="1"/>
  <c r="R32" i="1"/>
  <c r="L45" i="1"/>
  <c r="U40" i="1" s="1"/>
  <c r="M38" i="1"/>
  <c r="L46" i="1"/>
  <c r="U41" i="1" s="1"/>
  <c r="M40" i="1"/>
  <c r="M41" i="1"/>
  <c r="M43" i="1" l="1"/>
  <c r="P55" i="1"/>
  <c r="J34" i="1"/>
  <c r="J41" i="1"/>
  <c r="J39" i="1"/>
  <c r="J40" i="1"/>
  <c r="M44" i="1"/>
  <c r="R35" i="1"/>
  <c r="Q54" i="1" s="1"/>
  <c r="P54" i="1"/>
  <c r="M46" i="1"/>
  <c r="K39" i="1"/>
  <c r="K34" i="1"/>
  <c r="K38" i="1"/>
  <c r="K40" i="1"/>
  <c r="K41" i="1"/>
  <c r="M45" i="1"/>
  <c r="J38" i="1"/>
  <c r="O44" i="1"/>
  <c r="Q43" i="1"/>
  <c r="K43" i="1" l="1"/>
  <c r="T38" i="1" s="1"/>
  <c r="J44" i="1"/>
  <c r="S39" i="1" s="1"/>
  <c r="J43" i="1"/>
  <c r="J45" i="1"/>
  <c r="S40" i="1"/>
  <c r="J46" i="1"/>
  <c r="S41" i="1"/>
  <c r="K44" i="1"/>
  <c r="T39" i="1"/>
  <c r="K46" i="1"/>
  <c r="T41" i="1"/>
  <c r="K45" i="1"/>
  <c r="T40" i="1"/>
  <c r="Q55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tc={1FE4EB0B-0600-B745-B471-E002BC0B6043}</author>
    <author>tc={099BAA9E-3D39-0042-8F60-0CADC312B626}</author>
    <author>tc={3302EFD4-7CE9-C94E-8E83-25B18428A6EC}</author>
    <author>tc={2A6C1E55-17CB-354C-8558-F2A43A1DA789}</author>
    <author>tc={7DC313A8-6CA9-0D4B-8DFC-FA8A8EADF8FD}</author>
    <author>tc={F198EE99-95EA-9742-80AB-04F90102A8EB}</author>
    <author>tc={914348C7-1D58-F14D-8163-E671D686DDC8}</author>
    <author>tc={E09238D0-1A8C-1D4B-954D-C158E116A6DA}</author>
  </authors>
  <commentList>
    <comment ref="J30" authorId="0" shapeId="0" xr:uid="{1FE4EB0B-0600-B745-B471-E002BC0B6043}">
      <text>
        <t>[Threaded comment]
Your version of Excel allows you to read this threaded comment; however, any edits to it will get removed if the file is opened in a newer version of Excel. Learn more: https://go.microsoft.com/fwlink/?linkid=870924
Comment:
    planar area of coral</t>
      </text>
    </comment>
    <comment ref="M30" authorId="1" shapeId="0" xr:uid="{099BAA9E-3D39-0042-8F60-0CADC312B626}">
      <text>
        <t>[Threaded comment]
Your version of Excel allows you to read this threaded comment; however, any edits to it will get removed if the file is opened in a newer version of Excel. Learn more: https://go.microsoft.com/fwlink/?linkid=870924
Comment:
    planar area of coral</t>
      </text>
    </comment>
    <comment ref="N30" authorId="2" shapeId="0" xr:uid="{3302EFD4-7CE9-C94E-8E83-25B18428A6EC}">
      <text>
        <t>[Threaded comment]
Your version of Excel allows you to read this threaded comment; however, any edits to it will get removed if the file is opened in a newer version of Excel. Learn more: https://go.microsoft.com/fwlink/?linkid=870924
Comment:
    planar area of reef rock</t>
      </text>
    </comment>
    <comment ref="P30" authorId="3" shapeId="0" xr:uid="{2A6C1E55-17CB-354C-8558-F2A43A1DA789}">
      <text>
        <t>[Threaded comment]
Your version of Excel allows you to read this threaded comment; however, any edits to it will get removed if the file is opened in a newer version of Excel. Learn more: https://go.microsoft.com/fwlink/?linkid=870924
Comment:
    planar area of reef rock</t>
      </text>
    </comment>
    <comment ref="R30" authorId="4" shapeId="0" xr:uid="{7DC313A8-6CA9-0D4B-8DFC-FA8A8EADF8FD}">
      <text>
        <t>[Threaded comment]
Your version of Excel allows you to read this threaded comment; however, any edits to it will get removed if the file is opened in a newer version of Excel. Learn more: https://go.microsoft.com/fwlink/?linkid=870924
Comment:
    planar area of reef rock</t>
      </text>
    </comment>
    <comment ref="I32" authorId="5" shapeId="0" xr:uid="{F198EE99-95EA-9742-80AB-04F90102A8EB}">
      <text>
        <t>[Threaded comment]
Your version of Excel allows you to read this threaded comment; however, any edits to it will get removed if the file is opened in a newer version of Excel. Learn more: https://go.microsoft.com/fwlink/?linkid=870924
Comment:
    this is estimating based on : 
(mass or endobiont / planar footprint / total age of specimen) —&gt; to get units of [g.cm-2.yr-1]</t>
      </text>
    </comment>
    <comment ref="M32" authorId="6" shapeId="0" xr:uid="{914348C7-1D58-F14D-8163-E671D686DDC8}">
      <text>
        <t>[Threaded comment]
Your version of Excel allows you to read this threaded comment; however, any edits to it will get removed if the file is opened in a newer version of Excel. Learn more: https://go.microsoft.com/fwlink/?linkid=870924
Comment:
    sum of sponge bioerosion + reef rock bio erosion</t>
      </text>
    </comment>
    <comment ref="O32" authorId="7" shapeId="0" xr:uid="{E09238D0-1A8C-1D4B-954D-C158E116A6DA}">
      <text>
        <t>[Threaded comment]
Your version of Excel allows you to read this threaded comment; however, any edits to it will get removed if the file is opened in a newer version of Excel. Learn more: https://go.microsoft.com/fwlink/?linkid=870924
Comment:
    sum of sponge bioerosion + reef rock bio erosion</t>
      </text>
    </comment>
  </commentList>
</comments>
</file>

<file path=xl/sharedStrings.xml><?xml version="1.0" encoding="utf-8"?>
<sst xmlns="http://schemas.openxmlformats.org/spreadsheetml/2006/main" count="247" uniqueCount="141">
  <si>
    <t>Main endolithic feature impacting calcification</t>
  </si>
  <si>
    <t>large worms</t>
  </si>
  <si>
    <t xml:space="preserve">Bivalves and Oyster Shell </t>
  </si>
  <si>
    <t>Small worms</t>
  </si>
  <si>
    <t>Sponge | settlement on reef rock</t>
  </si>
  <si>
    <t>Encapsulated Reef rock</t>
  </si>
  <si>
    <t>Coral Specimen segmented</t>
  </si>
  <si>
    <t>VolumeType</t>
  </si>
  <si>
    <t>Assigned Letter</t>
  </si>
  <si>
    <t>Operation</t>
  </si>
  <si>
    <t>Weight estimate [g]</t>
  </si>
  <si>
    <t>Volume_estimate [ cm-3]</t>
  </si>
  <si>
    <t>Histogram_Source_File</t>
  </si>
  <si>
    <t>Specimen</t>
  </si>
  <si>
    <t>LB_0001</t>
  </si>
  <si>
    <t>LB_0008</t>
  </si>
  <si>
    <t>LB_0031</t>
  </si>
  <si>
    <t>LB_0034</t>
  </si>
  <si>
    <t>LB_0025</t>
  </si>
  <si>
    <t>LB_0045</t>
  </si>
  <si>
    <t xml:space="preserve"> LB_0001 surpulid infested coral</t>
  </si>
  <si>
    <t>WormTubes</t>
  </si>
  <si>
    <t>A</t>
  </si>
  <si>
    <t>--</t>
  </si>
  <si>
    <t>Histogram-LB_0001_TubeRimsAndAir.csv</t>
  </si>
  <si>
    <t>WholeSpecimen</t>
  </si>
  <si>
    <t>B</t>
  </si>
  <si>
    <t>Histogram-LB_0001_WholeSpecimen.csv</t>
  </si>
  <si>
    <t>Segemented proportions relative to specimen</t>
  </si>
  <si>
    <t>CoralOnly</t>
  </si>
  <si>
    <t>C</t>
  </si>
  <si>
    <t>"C = A - B"</t>
  </si>
  <si>
    <t>NA</t>
  </si>
  <si>
    <t>Weight [%]</t>
  </si>
  <si>
    <t>Volume [%]</t>
  </si>
  <si>
    <t xml:space="preserve"> LB_0008 (bivalves and oyster shell)</t>
  </si>
  <si>
    <t>Histogram-LB_0008_WholeSpecimen.csv</t>
  </si>
  <si>
    <t>MassBalances</t>
  </si>
  <si>
    <t>BivalvesOnly</t>
  </si>
  <si>
    <t>Histogram-LB_0008_BivalvesOnly.csv</t>
  </si>
  <si>
    <t>PristineCoralBulkDensity [ g.cm-3]</t>
  </si>
  <si>
    <t>ShellOnly</t>
  </si>
  <si>
    <t>Histogram-LB_0008_ShellOnly.csv</t>
  </si>
  <si>
    <t>Bulk Density Change [%]</t>
  </si>
  <si>
    <t>OtherEndobionts</t>
  </si>
  <si>
    <t>D</t>
  </si>
  <si>
    <t>" D = E - (B + C) "</t>
  </si>
  <si>
    <t>Pristine Specimen Mass Estimate [g]</t>
  </si>
  <si>
    <t>AllEndobionts</t>
  </si>
  <si>
    <t>E</t>
  </si>
  <si>
    <t>Histogram-LB_0008_AllEndobionts.csv</t>
  </si>
  <si>
    <t>Mass Impact On Specimen  [%]</t>
  </si>
  <si>
    <t>F</t>
  </si>
  <si>
    <t>"F = "A - E"</t>
  </si>
  <si>
    <t>Mass Impact within affected volume [%]</t>
  </si>
  <si>
    <t>LB_0031 surpulid infested coral</t>
  </si>
  <si>
    <t>ThinWormTubes</t>
  </si>
  <si>
    <t>Histogram-LB_0031_WormTubes.csv</t>
  </si>
  <si>
    <t>Measurement related impacts</t>
  </si>
  <si>
    <t>Histogram-LB_0031_WholeSpecimen.csv</t>
  </si>
  <si>
    <t xml:space="preserve">Specimen Age Min </t>
  </si>
  <si>
    <t>" C = B - A "</t>
  </si>
  <si>
    <t>Specimen Age Max</t>
  </si>
  <si>
    <t>MGA Extension [ mm yr-1]</t>
  </si>
  <si>
    <t>LB_0025 (encapsulated reef rock)</t>
  </si>
  <si>
    <t>ReefRockOnly</t>
  </si>
  <si>
    <t>Histogram-LB_0025_ReefRockOnly.csv</t>
  </si>
  <si>
    <t>AMR-V Extension [ mm yr-1]</t>
  </si>
  <si>
    <t>Histogram-LB_0025_WholeSpecimen.csv</t>
  </si>
  <si>
    <t>MGA Density [ g.cm-3]</t>
  </si>
  <si>
    <t>Histogram-LB_0025_CoralOnly.csv</t>
  </si>
  <si>
    <t>AMR-V Density [ g.cm-3]</t>
  </si>
  <si>
    <t>Other</t>
  </si>
  <si>
    <t>"D = B - C - A "</t>
  </si>
  <si>
    <t>MGA Calcification [g cm-2 yr-1]</t>
  </si>
  <si>
    <t>AMR-V Calcification [g cm-2 yr-1]</t>
  </si>
  <si>
    <t>AP Calcification</t>
  </si>
  <si>
    <t>LB_0045 (encapsulated reef rock)</t>
  </si>
  <si>
    <t>Histogram-LB_0045_ReefRockOnly.csv</t>
  </si>
  <si>
    <t>Gross Pristine Calcification [g cm-2 yr-1]</t>
  </si>
  <si>
    <t>Histogram-LB_0045_WholeSpecimen.csv</t>
  </si>
  <si>
    <t>AMR pristine</t>
  </si>
  <si>
    <t>Histogram-LB_0045_OtherEndoliths</t>
  </si>
  <si>
    <t>" D = B - A  - C"</t>
  </si>
  <si>
    <t xml:space="preserve">Bio(erosion) impacts </t>
  </si>
  <si>
    <t>w.r.t</t>
  </si>
  <si>
    <t>Coral</t>
  </si>
  <si>
    <t>Rubble</t>
  </si>
  <si>
    <t>LB_0034 (sponge + encapsulated reef rock)</t>
  </si>
  <si>
    <t>Histogram-LB_0034_WholeSpecimen.csv</t>
  </si>
  <si>
    <t>Areal planar projection [cm2]</t>
  </si>
  <si>
    <t>SpongeGalleries</t>
  </si>
  <si>
    <t>Histogram-LB_0034_SpongeGalleriesOnly.csv</t>
  </si>
  <si>
    <t>Total Void Mass Estimate [g]</t>
  </si>
  <si>
    <t>ReefRock</t>
  </si>
  <si>
    <t>Histogram-LB_0034_ReefRockOnly.csv</t>
  </si>
  <si>
    <t>Bioerosion min. [ g.cm-2.yr-1]</t>
  </si>
  <si>
    <t>" D = A - B - C "</t>
  </si>
  <si>
    <t>Bioerosion max. [ g.cm-2.yr-1]</t>
  </si>
  <si>
    <t>WholeSpecimen minus ReefRock</t>
  </si>
  <si>
    <t>"E = A - C "</t>
  </si>
  <si>
    <t>Average bioerosion in coral [Kg.m-2.yr-1]</t>
  </si>
  <si>
    <t>Average bioerosion in  rubble [Kg.m-2.yr-1]</t>
  </si>
  <si>
    <t xml:space="preserve">Comparisons </t>
  </si>
  <si>
    <t>Net Pristine Calcification [g.cm-2.yr-1]</t>
  </si>
  <si>
    <t>Net MGA Calcification [g cm-2 yr-1]</t>
  </si>
  <si>
    <t>Net AMR-V Calcification [g cm-2 yr-1]</t>
  </si>
  <si>
    <t>Net AP Calcification</t>
  </si>
  <si>
    <t>ReefBudget Calcification [g cm-2 yr-1]</t>
  </si>
  <si>
    <t>Calcification change Gross Pristine to Net Pristine [%]</t>
  </si>
  <si>
    <t>Calcification change Gross Pristine to Net MGA  [%]</t>
  </si>
  <si>
    <t>Calcification change Gross Pristine to Net AMR-V  [%]</t>
  </si>
  <si>
    <t>Calcification change Gross Pristine to Net AP  [%]</t>
  </si>
  <si>
    <t>Mean_Grey_in_Clast</t>
  </si>
  <si>
    <t>Pristine_Clast_Density_g/cm3</t>
  </si>
  <si>
    <t>Voxel_size_mm</t>
  </si>
  <si>
    <t>LB_0045_ReefRockOnly</t>
  </si>
  <si>
    <t>LB_0025_ReefRockOnly</t>
  </si>
  <si>
    <t>LB_0034_ReefRockOnly</t>
  </si>
  <si>
    <t>Assumption</t>
  </si>
  <si>
    <t>Rubble_min_age</t>
  </si>
  <si>
    <t>Average endolithic bioerosion</t>
  </si>
  <si>
    <t>Rubble_max_age</t>
  </si>
  <si>
    <t>min</t>
  </si>
  <si>
    <t>max</t>
  </si>
  <si>
    <t>rubble bioerosion</t>
  </si>
  <si>
    <t>area of reef rock_px2</t>
  </si>
  <si>
    <t>planar area of reef rock_cm2</t>
  </si>
  <si>
    <t>void_mass removed (g)</t>
  </si>
  <si>
    <t>reef_rock_erosion_range (2.5 to 5 yrs) [Kg/m2.yr]</t>
  </si>
  <si>
    <t>endolithic bioerosion on live coral</t>
  </si>
  <si>
    <t>For bar graph</t>
  </si>
  <si>
    <t>Gross Pristine</t>
  </si>
  <si>
    <t xml:space="preserve">Net Pristine </t>
  </si>
  <si>
    <t xml:space="preserve">Net MGA </t>
  </si>
  <si>
    <t>Clast bulk density</t>
  </si>
  <si>
    <t xml:space="preserve">Net AMR-V </t>
  </si>
  <si>
    <t xml:space="preserve">Net AP </t>
  </si>
  <si>
    <t>5.1-2.5</t>
  </si>
  <si>
    <t>1.6-0.8</t>
  </si>
  <si>
    <t>1.9-1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</si>
</sst>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00"/>
    <numFmt numFmtId="165" formatCode="0.0"/>
    <numFmt numFmtId="166" formatCode="0.0%"/>
    <numFmt numFmtId="167" formatCode="0.0000"/>
  </numFmts>
  <fonts count="13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i/>
      <sz val="7.5"/>
      <color theme="1"/>
      <name val="Arial"/>
      <family val="2"/>
    </font>
    <font>
      <b/>
      <sz val="11"/>
      <color theme="1"/>
      <name val="Aptos Narrow"/>
      <scheme val="minor"/>
    </font>
    <font>
      <i/>
      <sz val="11"/>
      <color theme="1"/>
      <name val="Aptos Narrow"/>
      <scheme val="minor"/>
    </font>
    <font>
      <sz val="11"/>
      <color rgb="FF000000"/>
      <name val="Calibri"/>
      <family val="2"/>
    </font>
    <font>
      <sz val="11"/>
      <color theme="1"/>
      <name val="Aptos Narrow"/>
      <scheme val="minor"/>
    </font>
    <font>
      <b/>
      <i/>
      <sz val="11"/>
      <color theme="1"/>
      <name val="Aptos Narrow"/>
      <scheme val="minor"/>
    </font>
    <font>
      <i/>
      <u/>
      <sz val="11"/>
      <color theme="1"/>
      <name val="Aptos Narrow"/>
      <scheme val="minor"/>
    </font>
    <font>
      <b/>
      <sz val="11"/>
      <color theme="3" tint="0.249977111117893"/>
      <name val="Aptos Narrow"/>
      <scheme val="minor"/>
    </font>
    <font>
      <b/>
      <sz val="11"/>
      <color theme="1"/>
      <name val="Aptos Narrow"/>
      <family val="2"/>
      <scheme val="minor"/>
    </font>
    <font>
      <b/>
      <sz val="11"/>
      <color rgb="FFFFC000"/>
      <name val="Aptos Narrow"/>
      <scheme val="minor"/>
    </font>
    <font>
      <sz val="10"/>
      <color rgb="FF000000"/>
      <name val="Tahoma"/>
      <family val="2"/>
    </font>
  </fonts>
  <fills count="6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39997558519241921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28">
    <xf numFmtId="0" fontId="0" fillId="0" borderId="0" xfId="0"/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4" xfId="0" applyFont="1" applyBorder="1"/>
    <xf numFmtId="0" fontId="3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3" fillId="0" borderId="5" xfId="0" applyFont="1" applyBorder="1" applyAlignment="1">
      <alignment horizontal="center"/>
    </xf>
    <xf numFmtId="0" fontId="3" fillId="0" borderId="0" xfId="0" applyFont="1"/>
    <xf numFmtId="0" fontId="0" fillId="0" borderId="0" xfId="0" applyAlignment="1">
      <alignment horizontal="right"/>
    </xf>
    <xf numFmtId="164" fontId="0" fillId="0" borderId="0" xfId="0" applyNumberFormat="1"/>
    <xf numFmtId="0" fontId="3" fillId="0" borderId="4" xfId="0" applyFont="1" applyBorder="1" applyAlignment="1">
      <alignment horizontal="center" vertical="center" textRotation="90" wrapText="1"/>
    </xf>
    <xf numFmtId="0" fontId="0" fillId="0" borderId="0" xfId="0" applyAlignment="1">
      <alignment horizontal="center"/>
    </xf>
    <xf numFmtId="0" fontId="0" fillId="0" borderId="0" xfId="0" quotePrefix="1" applyAlignment="1">
      <alignment horizontal="center"/>
    </xf>
    <xf numFmtId="1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0" fontId="0" fillId="0" borderId="5" xfId="0" applyBorder="1" applyAlignment="1">
      <alignment horizontal="left"/>
    </xf>
    <xf numFmtId="0" fontId="0" fillId="0" borderId="4" xfId="0" applyBorder="1"/>
    <xf numFmtId="0" fontId="0" fillId="0" borderId="0" xfId="0" applyAlignment="1">
      <alignment horizontal="center"/>
    </xf>
    <xf numFmtId="2" fontId="0" fillId="0" borderId="0" xfId="1" applyNumberFormat="1" applyFont="1" applyBorder="1" applyAlignment="1">
      <alignment horizontal="center"/>
    </xf>
    <xf numFmtId="2" fontId="0" fillId="0" borderId="5" xfId="1" applyNumberFormat="1" applyFont="1" applyBorder="1" applyAlignment="1">
      <alignment horizontal="center"/>
    </xf>
    <xf numFmtId="0" fontId="4" fillId="0" borderId="0" xfId="0" applyFont="1" applyAlignment="1">
      <alignment horizontal="center"/>
    </xf>
    <xf numFmtId="9" fontId="0" fillId="0" borderId="0" xfId="1" applyFont="1" applyBorder="1" applyAlignment="1">
      <alignment horizontal="center"/>
    </xf>
    <xf numFmtId="166" fontId="0" fillId="0" borderId="0" xfId="1" applyNumberFormat="1" applyFont="1" applyBorder="1" applyAlignment="1">
      <alignment horizontal="center"/>
    </xf>
    <xf numFmtId="9" fontId="0" fillId="0" borderId="0" xfId="1" applyFont="1" applyBorder="1" applyAlignment="1">
      <alignment horizontal="center"/>
    </xf>
    <xf numFmtId="9" fontId="0" fillId="0" borderId="0" xfId="1" applyFont="1" applyFill="1" applyBorder="1" applyAlignment="1">
      <alignment horizontal="center"/>
    </xf>
    <xf numFmtId="9" fontId="0" fillId="0" borderId="5" xfId="1" applyFont="1" applyFill="1" applyBorder="1" applyAlignment="1">
      <alignment horizontal="center"/>
    </xf>
    <xf numFmtId="0" fontId="0" fillId="2" borderId="4" xfId="0" applyFill="1" applyBorder="1" applyAlignment="1">
      <alignment horizontal="center" vertical="center"/>
    </xf>
    <xf numFmtId="0" fontId="0" fillId="2" borderId="0" xfId="0" applyFill="1" applyAlignment="1">
      <alignment horizontal="center"/>
    </xf>
    <xf numFmtId="1" fontId="0" fillId="2" borderId="0" xfId="0" applyNumberFormat="1" applyFill="1" applyAlignment="1">
      <alignment horizontal="center"/>
    </xf>
    <xf numFmtId="165" fontId="0" fillId="2" borderId="0" xfId="0" applyNumberFormat="1" applyFill="1" applyAlignment="1">
      <alignment horizontal="center"/>
    </xf>
    <xf numFmtId="0" fontId="0" fillId="2" borderId="5" xfId="0" applyFill="1" applyBorder="1" applyAlignment="1">
      <alignment horizontal="left"/>
    </xf>
    <xf numFmtId="0" fontId="3" fillId="0" borderId="1" xfId="0" applyFont="1" applyBorder="1"/>
    <xf numFmtId="0" fontId="3" fillId="0" borderId="2" xfId="0" applyFont="1" applyBorder="1"/>
    <xf numFmtId="2" fontId="0" fillId="0" borderId="0" xfId="0" applyNumberFormat="1" applyAlignment="1">
      <alignment horizontal="center"/>
    </xf>
    <xf numFmtId="2" fontId="0" fillId="0" borderId="5" xfId="0" applyNumberFormat="1" applyBorder="1" applyAlignment="1">
      <alignment horizontal="center"/>
    </xf>
    <xf numFmtId="2" fontId="0" fillId="0" borderId="0" xfId="0" applyNumberFormat="1" applyAlignment="1">
      <alignment horizontal="center"/>
    </xf>
    <xf numFmtId="1" fontId="0" fillId="0" borderId="0" xfId="0" applyNumberFormat="1"/>
    <xf numFmtId="1" fontId="0" fillId="0" borderId="5" xfId="0" applyNumberFormat="1" applyBorder="1"/>
    <xf numFmtId="10" fontId="0" fillId="0" borderId="0" xfId="1" applyNumberFormat="1" applyFont="1" applyBorder="1" applyAlignment="1">
      <alignment horizontal="center"/>
    </xf>
    <xf numFmtId="10" fontId="0" fillId="0" borderId="0" xfId="1" applyNumberFormat="1" applyFont="1" applyBorder="1" applyAlignment="1">
      <alignment horizontal="center"/>
    </xf>
    <xf numFmtId="10" fontId="0" fillId="0" borderId="0" xfId="1" applyNumberFormat="1" applyFont="1" applyFill="1" applyBorder="1" applyAlignment="1">
      <alignment horizontal="center"/>
    </xf>
    <xf numFmtId="10" fontId="0" fillId="0" borderId="5" xfId="1" applyNumberFormat="1" applyFont="1" applyFill="1" applyBorder="1" applyAlignment="1">
      <alignment horizontal="center"/>
    </xf>
    <xf numFmtId="2" fontId="0" fillId="0" borderId="0" xfId="0" applyNumberFormat="1"/>
    <xf numFmtId="0" fontId="0" fillId="0" borderId="5" xfId="0" applyBorder="1"/>
    <xf numFmtId="1" fontId="0" fillId="0" borderId="0" xfId="0" applyNumberFormat="1" applyAlignment="1">
      <alignment horizontal="center"/>
    </xf>
    <xf numFmtId="1" fontId="0" fillId="0" borderId="5" xfId="0" applyNumberFormat="1" applyBorder="1" applyAlignment="1">
      <alignment horizontal="center"/>
    </xf>
    <xf numFmtId="9" fontId="0" fillId="0" borderId="5" xfId="1" applyFont="1" applyBorder="1" applyAlignment="1">
      <alignment horizontal="center"/>
    </xf>
    <xf numFmtId="0" fontId="0" fillId="0" borderId="5" xfId="0" applyBorder="1" applyAlignment="1">
      <alignment horizontal="center"/>
    </xf>
    <xf numFmtId="165" fontId="0" fillId="0" borderId="0" xfId="0" applyNumberFormat="1" applyAlignment="1">
      <alignment horizontal="center"/>
    </xf>
    <xf numFmtId="165" fontId="0" fillId="0" borderId="5" xfId="0" applyNumberFormat="1" applyBorder="1" applyAlignment="1">
      <alignment horizontal="center"/>
    </xf>
    <xf numFmtId="1" fontId="5" fillId="0" borderId="0" xfId="0" applyNumberFormat="1" applyFont="1" applyAlignment="1">
      <alignment horizontal="center"/>
    </xf>
    <xf numFmtId="165" fontId="5" fillId="0" borderId="0" xfId="0" applyNumberFormat="1" applyFont="1" applyAlignment="1">
      <alignment horizontal="center"/>
    </xf>
    <xf numFmtId="2" fontId="0" fillId="0" borderId="0" xfId="1" applyNumberFormat="1" applyFont="1" applyBorder="1" applyAlignment="1">
      <alignment horizontal="center"/>
    </xf>
    <xf numFmtId="0" fontId="6" fillId="0" borderId="4" xfId="0" applyFont="1" applyBorder="1"/>
    <xf numFmtId="2" fontId="6" fillId="0" borderId="0" xfId="0" applyNumberFormat="1" applyFont="1" applyAlignment="1">
      <alignment horizontal="center"/>
    </xf>
    <xf numFmtId="0" fontId="0" fillId="0" borderId="6" xfId="0" applyBorder="1"/>
    <xf numFmtId="0" fontId="0" fillId="0" borderId="8" xfId="0" applyBorder="1"/>
    <xf numFmtId="0" fontId="0" fillId="0" borderId="7" xfId="0" applyBorder="1"/>
    <xf numFmtId="2" fontId="7" fillId="0" borderId="0" xfId="1" applyNumberFormat="1" applyFont="1" applyBorder="1" applyAlignment="1">
      <alignment horizontal="center"/>
    </xf>
    <xf numFmtId="2" fontId="7" fillId="0" borderId="0" xfId="1" applyNumberFormat="1" applyFont="1" applyBorder="1" applyAlignment="1">
      <alignment horizontal="center"/>
    </xf>
    <xf numFmtId="2" fontId="3" fillId="0" borderId="0" xfId="1" applyNumberFormat="1" applyFont="1" applyBorder="1" applyAlignment="1">
      <alignment horizontal="center"/>
    </xf>
    <xf numFmtId="2" fontId="3" fillId="0" borderId="5" xfId="1" applyNumberFormat="1" applyFont="1" applyBorder="1" applyAlignment="1">
      <alignment horizontal="center"/>
    </xf>
    <xf numFmtId="0" fontId="0" fillId="0" borderId="3" xfId="0" applyBorder="1"/>
    <xf numFmtId="0" fontId="8" fillId="0" borderId="4" xfId="0" applyFont="1" applyBorder="1" applyAlignment="1">
      <alignment horizontal="right"/>
    </xf>
    <xf numFmtId="0" fontId="8" fillId="0" borderId="0" xfId="0" applyFont="1" applyAlignment="1">
      <alignment horizontal="center"/>
    </xf>
    <xf numFmtId="2" fontId="8" fillId="0" borderId="0" xfId="1" applyNumberFormat="1" applyFont="1" applyBorder="1" applyAlignment="1">
      <alignment horizontal="center"/>
    </xf>
    <xf numFmtId="0" fontId="8" fillId="0" borderId="5" xfId="0" applyFont="1" applyBorder="1" applyAlignment="1">
      <alignment horizontal="center"/>
    </xf>
    <xf numFmtId="165" fontId="0" fillId="0" borderId="0" xfId="0" applyNumberFormat="1"/>
    <xf numFmtId="0" fontId="5" fillId="0" borderId="5" xfId="0" applyFont="1" applyBorder="1" applyAlignment="1">
      <alignment horizontal="left"/>
    </xf>
    <xf numFmtId="165" fontId="3" fillId="0" borderId="0" xfId="0" applyNumberFormat="1" applyFont="1" applyAlignment="1">
      <alignment horizontal="center"/>
    </xf>
    <xf numFmtId="165" fontId="6" fillId="0" borderId="0" xfId="0" applyNumberFormat="1" applyFont="1" applyAlignment="1">
      <alignment horizontal="center"/>
    </xf>
    <xf numFmtId="165" fontId="3" fillId="0" borderId="5" xfId="0" applyNumberFormat="1" applyFont="1" applyBorder="1" applyAlignment="1">
      <alignment horizontal="center"/>
    </xf>
    <xf numFmtId="165" fontId="0" fillId="0" borderId="5" xfId="0" applyNumberFormat="1" applyBorder="1" applyAlignment="1">
      <alignment horizontal="center"/>
    </xf>
    <xf numFmtId="2" fontId="0" fillId="0" borderId="5" xfId="0" applyNumberFormat="1" applyBorder="1" applyAlignment="1">
      <alignment horizontal="center"/>
    </xf>
    <xf numFmtId="0" fontId="3" fillId="0" borderId="6" xfId="0" applyFont="1" applyBorder="1" applyAlignment="1">
      <alignment horizontal="center" vertical="center" textRotation="90" wrapText="1"/>
    </xf>
    <xf numFmtId="0" fontId="0" fillId="0" borderId="8" xfId="0" applyBorder="1" applyAlignment="1">
      <alignment horizontal="center"/>
    </xf>
    <xf numFmtId="1" fontId="0" fillId="0" borderId="8" xfId="0" applyNumberFormat="1" applyBorder="1" applyAlignment="1">
      <alignment horizontal="center"/>
    </xf>
    <xf numFmtId="0" fontId="5" fillId="0" borderId="7" xfId="0" applyFont="1" applyBorder="1" applyAlignment="1">
      <alignment horizontal="left"/>
    </xf>
    <xf numFmtId="2" fontId="9" fillId="0" borderId="0" xfId="0" applyNumberFormat="1" applyFont="1" applyAlignment="1">
      <alignment horizontal="center"/>
    </xf>
    <xf numFmtId="0" fontId="3" fillId="0" borderId="0" xfId="0" quotePrefix="1" applyFont="1" applyAlignment="1">
      <alignment horizontal="center"/>
    </xf>
    <xf numFmtId="0" fontId="10" fillId="0" borderId="5" xfId="0" quotePrefix="1" applyFont="1" applyBorder="1" applyAlignment="1">
      <alignment horizontal="center"/>
    </xf>
    <xf numFmtId="2" fontId="11" fillId="0" borderId="0" xfId="0" applyNumberFormat="1" applyFont="1" applyAlignment="1">
      <alignment horizontal="center"/>
    </xf>
    <xf numFmtId="2" fontId="11" fillId="0" borderId="5" xfId="0" applyNumberFormat="1" applyFont="1" applyBorder="1" applyAlignment="1">
      <alignment horizontal="center"/>
    </xf>
    <xf numFmtId="2" fontId="3" fillId="0" borderId="0" xfId="0" applyNumberFormat="1" applyFont="1" applyAlignment="1">
      <alignment horizontal="center"/>
    </xf>
    <xf numFmtId="166" fontId="0" fillId="0" borderId="0" xfId="1" applyNumberFormat="1" applyFont="1" applyBorder="1" applyAlignment="1">
      <alignment horizontal="center"/>
    </xf>
    <xf numFmtId="166" fontId="0" fillId="0" borderId="5" xfId="1" applyNumberFormat="1" applyFont="1" applyBorder="1" applyAlignment="1">
      <alignment horizontal="center"/>
    </xf>
    <xf numFmtId="166" fontId="0" fillId="0" borderId="8" xfId="1" applyNumberFormat="1" applyFont="1" applyBorder="1" applyAlignment="1">
      <alignment horizontal="center"/>
    </xf>
    <xf numFmtId="9" fontId="0" fillId="0" borderId="8" xfId="1" applyFont="1" applyBorder="1" applyAlignment="1">
      <alignment horizontal="center"/>
    </xf>
    <xf numFmtId="9" fontId="0" fillId="0" borderId="7" xfId="1" applyFont="1" applyBorder="1" applyAlignment="1">
      <alignment horizontal="center"/>
    </xf>
    <xf numFmtId="0" fontId="3" fillId="3" borderId="1" xfId="0" applyFont="1" applyFill="1" applyBorder="1"/>
    <xf numFmtId="0" fontId="3" fillId="3" borderId="2" xfId="0" applyFont="1" applyFill="1" applyBorder="1" applyAlignment="1">
      <alignment horizontal="center"/>
    </xf>
    <xf numFmtId="0" fontId="3" fillId="3" borderId="3" xfId="0" applyFont="1" applyFill="1" applyBorder="1" applyAlignment="1">
      <alignment horizontal="center"/>
    </xf>
    <xf numFmtId="0" fontId="0" fillId="0" borderId="4" xfId="0" applyBorder="1" applyAlignment="1">
      <alignment horizontal="center"/>
    </xf>
    <xf numFmtId="0" fontId="6" fillId="0" borderId="0" xfId="0" applyFont="1"/>
    <xf numFmtId="2" fontId="6" fillId="0" borderId="0" xfId="0" applyNumberFormat="1" applyFont="1"/>
    <xf numFmtId="0" fontId="0" fillId="0" borderId="6" xfId="0" applyBorder="1" applyAlignment="1">
      <alignment horizontal="center"/>
    </xf>
    <xf numFmtId="1" fontId="5" fillId="0" borderId="8" xfId="0" applyNumberFormat="1" applyFont="1" applyBorder="1" applyAlignment="1">
      <alignment horizontal="center"/>
    </xf>
    <xf numFmtId="165" fontId="5" fillId="0" borderId="8" xfId="0" applyNumberFormat="1" applyFont="1" applyBorder="1" applyAlignment="1">
      <alignment horizontal="center"/>
    </xf>
    <xf numFmtId="164" fontId="0" fillId="0" borderId="1" xfId="0" applyNumberFormat="1" applyBorder="1" applyAlignment="1">
      <alignment horizontal="center"/>
    </xf>
    <xf numFmtId="2" fontId="0" fillId="0" borderId="2" xfId="0" applyNumberFormat="1" applyBorder="1" applyAlignment="1">
      <alignment horizontal="right"/>
    </xf>
    <xf numFmtId="2" fontId="0" fillId="0" borderId="3" xfId="0" applyNumberFormat="1" applyBorder="1"/>
    <xf numFmtId="0" fontId="0" fillId="0" borderId="8" xfId="0" applyBorder="1" applyAlignment="1">
      <alignment horizontal="right"/>
    </xf>
    <xf numFmtId="2" fontId="3" fillId="0" borderId="4" xfId="0" applyNumberFormat="1" applyFont="1" applyBorder="1" applyAlignment="1">
      <alignment horizontal="left"/>
    </xf>
    <xf numFmtId="2" fontId="3" fillId="0" borderId="0" xfId="0" applyNumberFormat="1" applyFont="1" applyAlignment="1">
      <alignment horizontal="left"/>
    </xf>
    <xf numFmtId="0" fontId="0" fillId="0" borderId="5" xfId="0" applyBorder="1" applyAlignment="1">
      <alignment horizontal="right"/>
    </xf>
    <xf numFmtId="2" fontId="0" fillId="4" borderId="4" xfId="0" applyNumberFormat="1" applyFill="1" applyBorder="1"/>
    <xf numFmtId="2" fontId="0" fillId="0" borderId="5" xfId="0" applyNumberFormat="1" applyBorder="1"/>
    <xf numFmtId="0" fontId="3" fillId="3" borderId="2" xfId="0" applyFont="1" applyFill="1" applyBorder="1"/>
    <xf numFmtId="0" fontId="3" fillId="3" borderId="3" xfId="0" applyFont="1" applyFill="1" applyBorder="1"/>
    <xf numFmtId="2" fontId="0" fillId="5" borderId="6" xfId="0" applyNumberFormat="1" applyFill="1" applyBorder="1"/>
    <xf numFmtId="165" fontId="0" fillId="0" borderId="8" xfId="0" applyNumberForma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10" fillId="2" borderId="1" xfId="0" applyFont="1" applyFill="1" applyBorder="1" applyAlignment="1">
      <alignment horizontal="right"/>
    </xf>
    <xf numFmtId="0" fontId="10" fillId="2" borderId="2" xfId="0" applyFont="1" applyFill="1" applyBorder="1"/>
    <xf numFmtId="0" fontId="10" fillId="2" borderId="3" xfId="0" applyFont="1" applyFill="1" applyBorder="1"/>
    <xf numFmtId="165" fontId="0" fillId="0" borderId="5" xfId="0" applyNumberFormat="1" applyBorder="1"/>
    <xf numFmtId="2" fontId="7" fillId="0" borderId="0" xfId="1" applyNumberFormat="1" applyFont="1" applyBorder="1" applyAlignment="1"/>
    <xf numFmtId="2" fontId="3" fillId="0" borderId="0" xfId="1" applyNumberFormat="1" applyFont="1" applyBorder="1" applyAlignment="1"/>
    <xf numFmtId="2" fontId="3" fillId="0" borderId="5" xfId="1" applyNumberFormat="1" applyFont="1" applyBorder="1" applyAlignment="1"/>
    <xf numFmtId="167" fontId="0" fillId="0" borderId="0" xfId="0" applyNumberFormat="1"/>
    <xf numFmtId="167" fontId="0" fillId="0" borderId="5" xfId="0" applyNumberFormat="1" applyBorder="1"/>
    <xf numFmtId="0" fontId="0" fillId="0" borderId="7" xfId="0" applyBorder="1" applyAlignment="1">
      <alignment horizontal="center"/>
    </xf>
  </cellXfs>
  <cellStyles count="2">
    <cellStyle name="Normal" xfId="0" builtinId="0"/>
    <cellStyle name="Per 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10/relationships/person" Target="persons/person.xml"/><Relationship Id="rId3" Type="http://schemas.openxmlformats.org/officeDocument/2006/relationships/externalLink" Target="externalLinks/externalLink2.xml"/><Relationship Id="rId7" Type="http://schemas.openxmlformats.org/officeDocument/2006/relationships/sharedStrings" Target="sharedStrings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3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2054286217672898"/>
          <c:y val="2.8896050602217747E-2"/>
          <c:w val="0.85937936676150473"/>
          <c:h val="0.7647308913082695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'Tables and Budgets'!$K$63</c:f>
              <c:strCache>
                <c:ptCount val="1"/>
                <c:pt idx="0">
                  <c:v>Gross Pristine</c:v>
                </c:pt>
              </c:strCache>
            </c:strRef>
          </c:tx>
          <c:spPr>
            <a:solidFill>
              <a:schemeClr val="tx1"/>
            </a:solidFill>
            <a:ln>
              <a:noFill/>
            </a:ln>
            <a:effectLst/>
          </c:spPr>
          <c:invertIfNegative val="0"/>
          <c:cat>
            <c:strRef>
              <c:f>'Tables and Budgets'!$L$62:$Q$62</c:f>
              <c:strCache>
                <c:ptCount val="6"/>
                <c:pt idx="0">
                  <c:v>LB_0001</c:v>
                </c:pt>
                <c:pt idx="1">
                  <c:v>LB_0008</c:v>
                </c:pt>
                <c:pt idx="2">
                  <c:v>LB_0031</c:v>
                </c:pt>
                <c:pt idx="3">
                  <c:v>LB_0034</c:v>
                </c:pt>
                <c:pt idx="4">
                  <c:v>LB_0025</c:v>
                </c:pt>
                <c:pt idx="5">
                  <c:v>LB_0045</c:v>
                </c:pt>
              </c:strCache>
            </c:strRef>
          </c:cat>
          <c:val>
            <c:numRef>
              <c:f>'Tables and Budgets'!$L$63:$Q$63</c:f>
              <c:numCache>
                <c:formatCode>0.00</c:formatCode>
                <c:ptCount val="6"/>
                <c:pt idx="0">
                  <c:v>1.7397541537010082</c:v>
                </c:pt>
                <c:pt idx="1">
                  <c:v>0.80626961478647852</c:v>
                </c:pt>
                <c:pt idx="2">
                  <c:v>1.4917571432029797</c:v>
                </c:pt>
                <c:pt idx="3">
                  <c:v>1.28</c:v>
                </c:pt>
                <c:pt idx="4">
                  <c:v>1.57</c:v>
                </c:pt>
                <c:pt idx="5">
                  <c:v>1.74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1F4-3047-B7F1-EEEE7A05F88F}"/>
            </c:ext>
          </c:extLst>
        </c:ser>
        <c:ser>
          <c:idx val="1"/>
          <c:order val="1"/>
          <c:tx>
            <c:strRef>
              <c:f>'Tables and Budgets'!$K$64</c:f>
              <c:strCache>
                <c:ptCount val="1"/>
                <c:pt idx="0">
                  <c:v>Net Pristine </c:v>
                </c:pt>
              </c:strCache>
            </c:strRef>
          </c:tx>
          <c:spPr>
            <a:solidFill>
              <a:schemeClr val="bg2">
                <a:lumMod val="90000"/>
              </a:schemeClr>
            </a:solidFill>
            <a:ln>
              <a:noFill/>
            </a:ln>
            <a:effectLst/>
          </c:spPr>
          <c:invertIfNegative val="0"/>
          <c:cat>
            <c:strRef>
              <c:f>'Tables and Budgets'!$L$62:$Q$62</c:f>
              <c:strCache>
                <c:ptCount val="6"/>
                <c:pt idx="0">
                  <c:v>LB_0001</c:v>
                </c:pt>
                <c:pt idx="1">
                  <c:v>LB_0008</c:v>
                </c:pt>
                <c:pt idx="2">
                  <c:v>LB_0031</c:v>
                </c:pt>
                <c:pt idx="3">
                  <c:v>LB_0034</c:v>
                </c:pt>
                <c:pt idx="4">
                  <c:v>LB_0025</c:v>
                </c:pt>
                <c:pt idx="5">
                  <c:v>LB_0045</c:v>
                </c:pt>
              </c:strCache>
            </c:strRef>
          </c:cat>
          <c:val>
            <c:numRef>
              <c:f>'Tables and Budgets'!$L$64:$Q$64</c:f>
              <c:numCache>
                <c:formatCode>General</c:formatCode>
                <c:ptCount val="6"/>
                <c:pt idx="0">
                  <c:v>1.7072541537010082</c:v>
                </c:pt>
                <c:pt idx="1">
                  <c:v>0.76276961478647853</c:v>
                </c:pt>
                <c:pt idx="2">
                  <c:v>1.4872571432029797</c:v>
                </c:pt>
                <c:pt idx="3">
                  <c:v>1.2597138489188531</c:v>
                </c:pt>
                <c:pt idx="4">
                  <c:v>1.5505494413947793</c:v>
                </c:pt>
                <c:pt idx="5">
                  <c:v>1.737768330236376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1F4-3047-B7F1-EEEE7A05F88F}"/>
            </c:ext>
          </c:extLst>
        </c:ser>
        <c:ser>
          <c:idx val="2"/>
          <c:order val="2"/>
          <c:tx>
            <c:strRef>
              <c:f>'Tables and Budgets'!$K$65</c:f>
              <c:strCache>
                <c:ptCount val="1"/>
                <c:pt idx="0">
                  <c:v>Net MGA 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'Tables and Budgets'!$L$62:$Q$62</c:f>
              <c:strCache>
                <c:ptCount val="6"/>
                <c:pt idx="0">
                  <c:v>LB_0001</c:v>
                </c:pt>
                <c:pt idx="1">
                  <c:v>LB_0008</c:v>
                </c:pt>
                <c:pt idx="2">
                  <c:v>LB_0031</c:v>
                </c:pt>
                <c:pt idx="3">
                  <c:v>LB_0034</c:v>
                </c:pt>
                <c:pt idx="4">
                  <c:v>LB_0025</c:v>
                </c:pt>
                <c:pt idx="5">
                  <c:v>LB_0045</c:v>
                </c:pt>
              </c:strCache>
            </c:strRef>
          </c:cat>
          <c:val>
            <c:numRef>
              <c:f>'Tables and Budgets'!$L$65:$Q$65</c:f>
              <c:numCache>
                <c:formatCode>General</c:formatCode>
                <c:ptCount val="6"/>
                <c:pt idx="0">
                  <c:v>1.5691000000000004</c:v>
                </c:pt>
                <c:pt idx="1">
                  <c:v>0.76650000000000007</c:v>
                </c:pt>
                <c:pt idx="2">
                  <c:v>1.4632620000000001</c:v>
                </c:pt>
                <c:pt idx="3">
                  <c:v>1.2307564457730495</c:v>
                </c:pt>
                <c:pt idx="4">
                  <c:v>1.3938662586289736</c:v>
                </c:pt>
                <c:pt idx="5">
                  <c:v>1.6632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1F4-3047-B7F1-EEEE7A05F88F}"/>
            </c:ext>
          </c:extLst>
        </c:ser>
        <c:ser>
          <c:idx val="3"/>
          <c:order val="3"/>
          <c:tx>
            <c:strRef>
              <c:f>'Tables and Budgets'!$K$66</c:f>
              <c:strCache>
                <c:ptCount val="1"/>
                <c:pt idx="0">
                  <c:v>Net AMR-V 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'Tables and Budgets'!$L$62:$Q$62</c:f>
              <c:strCache>
                <c:ptCount val="6"/>
                <c:pt idx="0">
                  <c:v>LB_0001</c:v>
                </c:pt>
                <c:pt idx="1">
                  <c:v>LB_0008</c:v>
                </c:pt>
                <c:pt idx="2">
                  <c:v>LB_0031</c:v>
                </c:pt>
                <c:pt idx="3">
                  <c:v>LB_0034</c:v>
                </c:pt>
                <c:pt idx="4">
                  <c:v>LB_0025</c:v>
                </c:pt>
                <c:pt idx="5">
                  <c:v>LB_0045</c:v>
                </c:pt>
              </c:strCache>
            </c:strRef>
          </c:cat>
          <c:val>
            <c:numRef>
              <c:f>'Tables and Budgets'!$L$66:$Q$66</c:f>
              <c:numCache>
                <c:formatCode>General</c:formatCode>
                <c:ptCount val="6"/>
                <c:pt idx="0">
                  <c:v>1.6257999999999999</c:v>
                </c:pt>
                <c:pt idx="1">
                  <c:v>0.72352476190476189</c:v>
                </c:pt>
                <c:pt idx="2">
                  <c:v>1.5326469473684208</c:v>
                </c:pt>
                <c:pt idx="3">
                  <c:v>0.95490844577304923</c:v>
                </c:pt>
                <c:pt idx="4">
                  <c:v>1.2932595919623071</c:v>
                </c:pt>
                <c:pt idx="5">
                  <c:v>1.3987482352941178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1F4-3047-B7F1-EEEE7A05F88F}"/>
            </c:ext>
          </c:extLst>
        </c:ser>
        <c:ser>
          <c:idx val="4"/>
          <c:order val="4"/>
          <c:tx>
            <c:strRef>
              <c:f>'Tables and Budgets'!$K$67</c:f>
              <c:strCache>
                <c:ptCount val="1"/>
                <c:pt idx="0">
                  <c:v>Net AP 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'Tables and Budgets'!$L$62:$Q$62</c:f>
              <c:strCache>
                <c:ptCount val="6"/>
                <c:pt idx="0">
                  <c:v>LB_0001</c:v>
                </c:pt>
                <c:pt idx="1">
                  <c:v>LB_0008</c:v>
                </c:pt>
                <c:pt idx="2">
                  <c:v>LB_0031</c:v>
                </c:pt>
                <c:pt idx="3">
                  <c:v>LB_0034</c:v>
                </c:pt>
                <c:pt idx="4">
                  <c:v>LB_0025</c:v>
                </c:pt>
                <c:pt idx="5">
                  <c:v>LB_0045</c:v>
                </c:pt>
              </c:strCache>
            </c:strRef>
          </c:cat>
          <c:val>
            <c:numRef>
              <c:f>'Tables and Budgets'!$L$67:$Q$67</c:f>
              <c:numCache>
                <c:formatCode>General</c:formatCode>
                <c:ptCount val="6"/>
                <c:pt idx="0">
                  <c:v>1.137339412953313</c:v>
                </c:pt>
                <c:pt idx="1">
                  <c:v>0.77922595712710996</c:v>
                </c:pt>
                <c:pt idx="2">
                  <c:v>0.98834387130006085</c:v>
                </c:pt>
                <c:pt idx="3">
                  <c:v>0.90263064717568053</c:v>
                </c:pt>
                <c:pt idx="4">
                  <c:v>2.3700303807418264</c:v>
                </c:pt>
                <c:pt idx="5">
                  <c:v>2.0432370384541798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1F4-3047-B7F1-EEEE7A05F8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62232256"/>
        <c:axId val="122957263"/>
      </c:barChart>
      <c:catAx>
        <c:axId val="762232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2957263"/>
        <c:crosses val="autoZero"/>
        <c:auto val="1"/>
        <c:lblAlgn val="ctr"/>
        <c:lblOffset val="100"/>
        <c:noMultiLvlLbl val="0"/>
      </c:catAx>
      <c:valAx>
        <c:axId val="12295726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2232256"/>
        <c:crosses val="autoZero"/>
        <c:crossBetween val="between"/>
        <c:majorUnit val="0.2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2110154</xdr:colOff>
      <xdr:row>76</xdr:row>
      <xdr:rowOff>156307</xdr:rowOff>
    </xdr:from>
    <xdr:to>
      <xdr:col>4</xdr:col>
      <xdr:colOff>689098</xdr:colOff>
      <xdr:row>108</xdr:row>
      <xdr:rowOff>88230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0C03A8C-6AA4-D248-8FF6-F340BBADB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0154" y="15116907"/>
          <a:ext cx="7773744" cy="6027924"/>
        </a:xfrm>
        <a:prstGeom prst="rect">
          <a:avLst/>
        </a:prstGeom>
      </xdr:spPr>
    </xdr:pic>
    <xdr:clientData/>
  </xdr:twoCellAnchor>
  <xdr:twoCellAnchor editAs="oneCell">
    <xdr:from>
      <xdr:col>5</xdr:col>
      <xdr:colOff>879230</xdr:colOff>
      <xdr:row>76</xdr:row>
      <xdr:rowOff>175847</xdr:rowOff>
    </xdr:from>
    <xdr:to>
      <xdr:col>8</xdr:col>
      <xdr:colOff>2142510</xdr:colOff>
      <xdr:row>99</xdr:row>
      <xdr:rowOff>76272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D8E62A7-7F66-4B40-A2AA-20B8C486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34530" y="15136447"/>
          <a:ext cx="7765680" cy="4281925"/>
        </a:xfrm>
        <a:prstGeom prst="rect">
          <a:avLst/>
        </a:prstGeom>
      </xdr:spPr>
    </xdr:pic>
    <xdr:clientData/>
  </xdr:twoCellAnchor>
  <xdr:twoCellAnchor editAs="oneCell">
    <xdr:from>
      <xdr:col>6</xdr:col>
      <xdr:colOff>117230</xdr:colOff>
      <xdr:row>100</xdr:row>
      <xdr:rowOff>117231</xdr:rowOff>
    </xdr:from>
    <xdr:to>
      <xdr:col>7</xdr:col>
      <xdr:colOff>781538</xdr:colOff>
      <xdr:row>119</xdr:row>
      <xdr:rowOff>3447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184C538-CF9B-794A-9828-3D3AA0EF35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56192"/>
        <a:stretch/>
      </xdr:blipFill>
      <xdr:spPr>
        <a:xfrm>
          <a:off x="13617330" y="19649831"/>
          <a:ext cx="3407508" cy="3505716"/>
        </a:xfrm>
        <a:prstGeom prst="rect">
          <a:avLst/>
        </a:prstGeom>
      </xdr:spPr>
    </xdr:pic>
    <xdr:clientData/>
  </xdr:twoCellAnchor>
  <xdr:twoCellAnchor>
    <xdr:from>
      <xdr:col>0</xdr:col>
      <xdr:colOff>1152769</xdr:colOff>
      <xdr:row>133</xdr:row>
      <xdr:rowOff>110964</xdr:rowOff>
    </xdr:from>
    <xdr:to>
      <xdr:col>4</xdr:col>
      <xdr:colOff>1252381</xdr:colOff>
      <xdr:row>160</xdr:row>
      <xdr:rowOff>177980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DD73D0C4-82EB-B747-A649-7E15F174F5DE}"/>
            </a:ext>
          </a:extLst>
        </xdr:cNvPr>
        <xdr:cNvGrpSpPr/>
      </xdr:nvGrpSpPr>
      <xdr:grpSpPr>
        <a:xfrm>
          <a:off x="1152769" y="25573423"/>
          <a:ext cx="9301907" cy="5126196"/>
          <a:chOff x="3780826" y="25393732"/>
          <a:chExt cx="7758689" cy="5342401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9B0B66B1-AA19-5F66-4130-43660BE968F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780826" y="25393732"/>
            <a:ext cx="7758689" cy="5342401"/>
          </a:xfrm>
          <a:prstGeom prst="rect">
            <a:avLst/>
          </a:prstGeom>
        </xdr:spPr>
      </xdr:pic>
      <xdr:cxnSp macro="">
        <xdr:nvCxnSpPr>
          <xdr:cNvPr id="8" name="Straight Connector 7">
            <a:extLst>
              <a:ext uri="{FF2B5EF4-FFF2-40B4-BE49-F238E27FC236}">
                <a16:creationId xmlns:a16="http://schemas.microsoft.com/office/drawing/2014/main" id="{AA480A79-3F16-EAF7-894D-BED8DF1BA584}"/>
              </a:ext>
            </a:extLst>
          </xdr:cNvPr>
          <xdr:cNvCxnSpPr/>
        </xdr:nvCxnSpPr>
        <xdr:spPr>
          <a:xfrm flipH="1" flipV="1">
            <a:off x="8300331" y="29094315"/>
            <a:ext cx="9297" cy="1017236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" name="Straight Connector 8">
            <a:extLst>
              <a:ext uri="{FF2B5EF4-FFF2-40B4-BE49-F238E27FC236}">
                <a16:creationId xmlns:a16="http://schemas.microsoft.com/office/drawing/2014/main" id="{3C35F991-7FE8-B297-30AE-0E1C36E71439}"/>
              </a:ext>
            </a:extLst>
          </xdr:cNvPr>
          <xdr:cNvCxnSpPr/>
        </xdr:nvCxnSpPr>
        <xdr:spPr>
          <a:xfrm flipV="1">
            <a:off x="4756420" y="29094074"/>
            <a:ext cx="3553208" cy="2765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11</xdr:col>
      <xdr:colOff>70339</xdr:colOff>
      <xdr:row>116</xdr:row>
      <xdr:rowOff>123092</xdr:rowOff>
    </xdr:from>
    <xdr:to>
      <xdr:col>16</xdr:col>
      <xdr:colOff>226282</xdr:colOff>
      <xdr:row>135</xdr:row>
      <xdr:rowOff>27337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F9C9D6C-20AA-324B-ADBB-5888FAE5B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981139" y="22703692"/>
          <a:ext cx="3076943" cy="3523745"/>
        </a:xfrm>
        <a:prstGeom prst="rect">
          <a:avLst/>
        </a:prstGeom>
      </xdr:spPr>
    </xdr:pic>
    <xdr:clientData/>
  </xdr:twoCellAnchor>
  <xdr:twoCellAnchor>
    <xdr:from>
      <xdr:col>5</xdr:col>
      <xdr:colOff>770191</xdr:colOff>
      <xdr:row>123</xdr:row>
      <xdr:rowOff>40699</xdr:rowOff>
    </xdr:from>
    <xdr:to>
      <xdr:col>8</xdr:col>
      <xdr:colOff>2428081</xdr:colOff>
      <xdr:row>150</xdr:row>
      <xdr:rowOff>103687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EDDDF3B3-5FA5-6142-BC6C-8171063DE0F4}"/>
            </a:ext>
          </a:extLst>
        </xdr:cNvPr>
        <xdr:cNvGrpSpPr/>
      </xdr:nvGrpSpPr>
      <xdr:grpSpPr>
        <a:xfrm>
          <a:off x="11429863" y="23629388"/>
          <a:ext cx="8174448" cy="5122168"/>
          <a:chOff x="2893749" y="27959367"/>
          <a:chExt cx="7753890" cy="5343564"/>
        </a:xfrm>
      </xdr:grpSpPr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6552E372-B3D2-2A05-A738-1B89CA00256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893749" y="27959367"/>
            <a:ext cx="7753890" cy="5343564"/>
          </a:xfrm>
          <a:prstGeom prst="rect">
            <a:avLst/>
          </a:prstGeom>
        </xdr:spPr>
      </xdr:pic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574D9C11-B6E9-12D4-819B-07E184708066}"/>
              </a:ext>
            </a:extLst>
          </xdr:cNvPr>
          <xdr:cNvCxnSpPr/>
        </xdr:nvCxnSpPr>
        <xdr:spPr>
          <a:xfrm>
            <a:off x="3841908" y="30636665"/>
            <a:ext cx="3260834" cy="8896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055D62C5-9D8B-1F59-4274-DF1616015F62}"/>
              </a:ext>
            </a:extLst>
          </xdr:cNvPr>
          <xdr:cNvCxnSpPr/>
        </xdr:nvCxnSpPr>
        <xdr:spPr>
          <a:xfrm flipH="1" flipV="1">
            <a:off x="7101255" y="30623159"/>
            <a:ext cx="12277" cy="2093866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81085</xdr:colOff>
      <xdr:row>138</xdr:row>
      <xdr:rowOff>23444</xdr:rowOff>
    </xdr:from>
    <xdr:to>
      <xdr:col>21</xdr:col>
      <xdr:colOff>0</xdr:colOff>
      <xdr:row>187</xdr:row>
      <xdr:rowOff>76969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0219C372-107E-B147-B321-B910817DA34B}"/>
            </a:ext>
          </a:extLst>
        </xdr:cNvPr>
        <xdr:cNvGrpSpPr/>
      </xdr:nvGrpSpPr>
      <xdr:grpSpPr>
        <a:xfrm>
          <a:off x="20713380" y="26422788"/>
          <a:ext cx="10536948" cy="9235001"/>
          <a:chOff x="10495085" y="33395138"/>
          <a:chExt cx="7772400" cy="5313485"/>
        </a:xfrm>
      </xdr:grpSpPr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34AC48E5-79C8-D74F-B9F5-75DC97792E6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0495085" y="33395138"/>
            <a:ext cx="7772400" cy="5313485"/>
          </a:xfrm>
          <a:prstGeom prst="rect">
            <a:avLst/>
          </a:prstGeom>
        </xdr:spPr>
      </xdr:pic>
      <xdr:cxnSp macro="">
        <xdr:nvCxnSpPr>
          <xdr:cNvPr id="17" name="Straight Connector 16">
            <a:extLst>
              <a:ext uri="{FF2B5EF4-FFF2-40B4-BE49-F238E27FC236}">
                <a16:creationId xmlns:a16="http://schemas.microsoft.com/office/drawing/2014/main" id="{40FBD676-E8B9-DC38-D033-826235A67CDB}"/>
              </a:ext>
            </a:extLst>
          </xdr:cNvPr>
          <xdr:cNvCxnSpPr/>
        </xdr:nvCxnSpPr>
        <xdr:spPr>
          <a:xfrm flipH="1" flipV="1">
            <a:off x="15010965" y="37184948"/>
            <a:ext cx="1501" cy="95887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8" name="Straight Connector 17">
            <a:extLst>
              <a:ext uri="{FF2B5EF4-FFF2-40B4-BE49-F238E27FC236}">
                <a16:creationId xmlns:a16="http://schemas.microsoft.com/office/drawing/2014/main" id="{16076F81-45DE-3EB2-A27C-A8DC7634BBB9}"/>
              </a:ext>
            </a:extLst>
          </xdr:cNvPr>
          <xdr:cNvCxnSpPr/>
        </xdr:nvCxnSpPr>
        <xdr:spPr>
          <a:xfrm flipH="1">
            <a:off x="11461479" y="37172758"/>
            <a:ext cx="3573131" cy="23045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8</xdr:col>
      <xdr:colOff>3160791</xdr:colOff>
      <xdr:row>76</xdr:row>
      <xdr:rowOff>147427</xdr:rowOff>
    </xdr:from>
    <xdr:to>
      <xdr:col>16</xdr:col>
      <xdr:colOff>523136</xdr:colOff>
      <xdr:row>113</xdr:row>
      <xdr:rowOff>47108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966024B-8B17-BD46-AB93-3D57223FE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318491" y="15108027"/>
          <a:ext cx="6036445" cy="6948181"/>
        </a:xfrm>
        <a:prstGeom prst="rect">
          <a:avLst/>
        </a:prstGeom>
      </xdr:spPr>
    </xdr:pic>
    <xdr:clientData/>
  </xdr:twoCellAnchor>
  <xdr:twoCellAnchor editAs="oneCell">
    <xdr:from>
      <xdr:col>0</xdr:col>
      <xdr:colOff>2344614</xdr:colOff>
      <xdr:row>110</xdr:row>
      <xdr:rowOff>132862</xdr:rowOff>
    </xdr:from>
    <xdr:to>
      <xdr:col>2</xdr:col>
      <xdr:colOff>826531</xdr:colOff>
      <xdr:row>129</xdr:row>
      <xdr:rowOff>13884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1EF5A0B-765F-A740-906A-27425D229A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3858"/>
        <a:stretch/>
      </xdr:blipFill>
      <xdr:spPr>
        <a:xfrm>
          <a:off x="2344614" y="21570462"/>
          <a:ext cx="4349317" cy="3500522"/>
        </a:xfrm>
        <a:prstGeom prst="rect">
          <a:avLst/>
        </a:prstGeom>
      </xdr:spPr>
    </xdr:pic>
    <xdr:clientData/>
  </xdr:twoCellAnchor>
  <xdr:twoCellAnchor>
    <xdr:from>
      <xdr:col>6</xdr:col>
      <xdr:colOff>2374550</xdr:colOff>
      <xdr:row>52</xdr:row>
      <xdr:rowOff>163119</xdr:rowOff>
    </xdr:from>
    <xdr:to>
      <xdr:col>9</xdr:col>
      <xdr:colOff>955413</xdr:colOff>
      <xdr:row>68</xdr:row>
      <xdr:rowOff>128164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4DEB109C-4003-D041-B7C3-A89968A549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uob.sharepoint.com/teams/grp-Chapter5-Leo/Shared%20Documents/General/Results/Endobiont_and_Budgets_Analyses.xlsx" TargetMode="External"/><Relationship Id="rId1" Type="http://schemas.openxmlformats.org/officeDocument/2006/relationships/externalLinkPath" Target="https://uob.sharepoint.com/teams/grp-Chapter5-Leo/Shared%20Documents/General/Results/Endobiont_and_Budgets_Analyses.xlsx" TargetMode="External"/></Relationships>
</file>

<file path=xl/externalLinks/_rels/externalLink2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uob.sharepoint.com/teams/grp-Chapter5-Leo/Shared%20Documents/General/Literature/ReefBudget_SpreadSheets/IP_Calcification_and_bioerosion_rates_database_v1.3.xlsx" TargetMode="External"/><Relationship Id="rId1" Type="http://schemas.openxmlformats.org/officeDocument/2006/relationships/externalLinkPath" Target="https://uob.sharepoint.com/teams/grp-Chapter5-Leo/Shared%20Documents/General/Literature/ReefBudget_SpreadSheets/IP_Calcification_and_bioerosion_rates_database_v1.3.xlsx" TargetMode="External"/></Relationships>
</file>

<file path=xl/externalLinks/_rels/externalLink3.xml.rels><?xml version="1.0" encoding="UTF-8" standalone="yes"?>
<Relationships xmlns="http://schemas.openxmlformats.org/package/2006/relationships"><Relationship Id="rId2" Type="http://schemas.microsoft.com/office/2019/04/relationships/externalLinkLongPath" Target="https://uob.sharepoint.com/Users/leonardobertini/Library/CloudStorage/OneDrive-SharedLibraries-UniversityofBristol/grp-Chapter%205%20-%20Leo%20-%20General/Literature/ReefBudget_SpreadSheets/IP_Calcification_and_bioerosion_rates_database_v1.3.xlsx?0A32D626" TargetMode="External"/><Relationship Id="rId1" Type="http://schemas.openxmlformats.org/officeDocument/2006/relationships/externalLinkPath" Target="file:///0A32D626/IP_Calcification_and_bioerosion_rates_database_v1.3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Carbonate_Production_Curves"/>
      <sheetName val="Tables and Budgets"/>
      <sheetName val="References_to_check"/>
      <sheetName val="LB_0001_Worms"/>
      <sheetName val="LB_0008_Bivalves"/>
      <sheetName val="LB_0031_ThinWorms"/>
      <sheetName val="LB_0025_ReefRock"/>
      <sheetName val="LB_0045_ReefRock"/>
      <sheetName val="LB_0034_SpongeRock"/>
    </sheetNames>
    <sheetDataSet>
      <sheetData sheetId="0">
        <row r="2">
          <cell r="A2" t="str">
            <v>LB_0001</v>
          </cell>
          <cell r="H2">
            <v>84.626999999999995</v>
          </cell>
          <cell r="J2">
            <v>1.169839412953313</v>
          </cell>
        </row>
        <row r="3">
          <cell r="A3" t="str">
            <v>LB_0008</v>
          </cell>
          <cell r="H3">
            <v>162.387</v>
          </cell>
          <cell r="J3">
            <v>0.82272595712710994</v>
          </cell>
        </row>
        <row r="4">
          <cell r="A4" t="str">
            <v>LB_0009</v>
          </cell>
          <cell r="H4">
            <v>226.767</v>
          </cell>
          <cell r="J4">
            <v>0.28307322788001194</v>
          </cell>
        </row>
        <row r="5">
          <cell r="A5" t="str">
            <v>LB_0010</v>
          </cell>
          <cell r="H5">
            <v>198.23099999999999</v>
          </cell>
          <cell r="J5">
            <v>0.97649423436005767</v>
          </cell>
        </row>
        <row r="6">
          <cell r="A6" t="str">
            <v>LB_0011</v>
          </cell>
          <cell r="H6">
            <v>102.90600000000001</v>
          </cell>
          <cell r="J6">
            <v>1.2966856616123212</v>
          </cell>
        </row>
        <row r="7">
          <cell r="A7" t="str">
            <v>LB_0012</v>
          </cell>
          <cell r="H7">
            <v>71.546000000000006</v>
          </cell>
          <cell r="J7">
            <v>0.743577558493836</v>
          </cell>
        </row>
        <row r="8">
          <cell r="A8" t="str">
            <v>LB_0013</v>
          </cell>
          <cell r="H8">
            <v>75.090999999999994</v>
          </cell>
          <cell r="J8">
            <v>0.74676059714213427</v>
          </cell>
        </row>
        <row r="9">
          <cell r="A9" t="str">
            <v>LB_0016</v>
          </cell>
          <cell r="H9">
            <v>131.00299999999999</v>
          </cell>
          <cell r="J9">
            <v>1.1233728799440041</v>
          </cell>
        </row>
        <row r="10">
          <cell r="A10" t="str">
            <v>LB_0017</v>
          </cell>
          <cell r="H10">
            <v>109.401</v>
          </cell>
          <cell r="J10">
            <v>0.81812276191133604</v>
          </cell>
        </row>
        <row r="11">
          <cell r="A11" t="str">
            <v>LB_0018</v>
          </cell>
          <cell r="H11">
            <v>166.05600000000001</v>
          </cell>
          <cell r="J11">
            <v>1.3721704898175486</v>
          </cell>
        </row>
        <row r="12">
          <cell r="A12" t="str">
            <v>LB_0019</v>
          </cell>
          <cell r="H12">
            <v>66.703999999999994</v>
          </cell>
          <cell r="J12">
            <v>0.91665334079582095</v>
          </cell>
        </row>
        <row r="13">
          <cell r="A13" t="str">
            <v>LB_0020</v>
          </cell>
          <cell r="H13">
            <v>81.123000000000005</v>
          </cell>
          <cell r="J13">
            <v>1.2297823843254856</v>
          </cell>
        </row>
        <row r="14">
          <cell r="A14" t="str">
            <v>LB_0023</v>
          </cell>
          <cell r="H14">
            <v>160.78899999999999</v>
          </cell>
          <cell r="J14">
            <v>2.2986647096505362</v>
          </cell>
        </row>
        <row r="15">
          <cell r="A15" t="str">
            <v>LB_0025</v>
          </cell>
          <cell r="H15">
            <v>138.87700000000001</v>
          </cell>
          <cell r="J15">
            <v>2.3846041221128527</v>
          </cell>
        </row>
        <row r="16">
          <cell r="A16" t="str">
            <v>LB_0027</v>
          </cell>
          <cell r="H16">
            <v>190.53899999999999</v>
          </cell>
          <cell r="J16">
            <v>1.0409567445134966</v>
          </cell>
        </row>
        <row r="17">
          <cell r="A17" t="str">
            <v>LB_0029</v>
          </cell>
          <cell r="H17">
            <v>163.56100000000001</v>
          </cell>
          <cell r="J17">
            <v>0.91230422475007988</v>
          </cell>
        </row>
        <row r="18">
          <cell r="A18" t="str">
            <v>LB_0031</v>
          </cell>
          <cell r="H18">
            <v>114.44</v>
          </cell>
          <cell r="J18">
            <v>0.9928438713000608</v>
          </cell>
        </row>
        <row r="19">
          <cell r="A19" t="str">
            <v>LB_0032</v>
          </cell>
          <cell r="H19">
            <v>84.676000000000002</v>
          </cell>
          <cell r="J19">
            <v>0.87477829931417728</v>
          </cell>
        </row>
        <row r="20">
          <cell r="A20" t="str">
            <v>LB_0033</v>
          </cell>
          <cell r="H20">
            <v>86.185000000000002</v>
          </cell>
          <cell r="J20">
            <v>0.88055820723918421</v>
          </cell>
        </row>
        <row r="21">
          <cell r="A21" t="str">
            <v>LB_0034</v>
          </cell>
          <cell r="H21">
            <v>189.501</v>
          </cell>
          <cell r="J21">
            <v>0.91883420140263117</v>
          </cell>
        </row>
        <row r="22">
          <cell r="A22" t="str">
            <v>LB_0035</v>
          </cell>
          <cell r="H22">
            <v>117.52</v>
          </cell>
          <cell r="J22">
            <v>1.5499489448604493</v>
          </cell>
        </row>
        <row r="23">
          <cell r="A23" t="str">
            <v>LB_0036</v>
          </cell>
          <cell r="H23">
            <v>85.674000000000007</v>
          </cell>
          <cell r="J23">
            <v>2.4841675587526133</v>
          </cell>
        </row>
        <row r="24">
          <cell r="A24" t="str">
            <v>LB_0037</v>
          </cell>
          <cell r="H24">
            <v>86.406000000000006</v>
          </cell>
          <cell r="J24">
            <v>1.2459452220579921</v>
          </cell>
        </row>
        <row r="25">
          <cell r="A25" t="str">
            <v>LB_0038</v>
          </cell>
          <cell r="H25">
            <v>89.471000000000004</v>
          </cell>
          <cell r="J25">
            <v>1.7710447279804948</v>
          </cell>
        </row>
        <row r="26">
          <cell r="A26" t="str">
            <v>LB_0040</v>
          </cell>
          <cell r="H26">
            <v>80.340999999999994</v>
          </cell>
          <cell r="J26">
            <v>0.76489182251955401</v>
          </cell>
        </row>
        <row r="27">
          <cell r="A27" t="str">
            <v>LB_0041</v>
          </cell>
          <cell r="H27">
            <v>89.227000000000004</v>
          </cell>
          <cell r="J27">
            <v>0.66219545973432126</v>
          </cell>
        </row>
        <row r="28">
          <cell r="A28" t="str">
            <v>LB_0042_P3</v>
          </cell>
          <cell r="H28">
            <v>43.676000000000002</v>
          </cell>
          <cell r="J28">
            <v>1.0193945627593395</v>
          </cell>
        </row>
        <row r="29">
          <cell r="A29" t="str">
            <v>LB_0042_P4</v>
          </cell>
          <cell r="H29">
            <v>18.308</v>
          </cell>
          <cell r="J29">
            <v>1.3717656606011424</v>
          </cell>
        </row>
        <row r="30">
          <cell r="A30" t="str">
            <v>LB_0042_P5</v>
          </cell>
          <cell r="H30">
            <v>20.545999999999999</v>
          </cell>
          <cell r="J30">
            <v>1.1453973198351666</v>
          </cell>
        </row>
        <row r="31">
          <cell r="A31" t="str">
            <v>LB_0043</v>
          </cell>
          <cell r="H31">
            <v>61.725000000000001</v>
          </cell>
          <cell r="J31">
            <v>2.331128212051663</v>
          </cell>
        </row>
        <row r="32">
          <cell r="A32" t="str">
            <v>LB_0044</v>
          </cell>
          <cell r="H32">
            <v>70.421999999999997</v>
          </cell>
          <cell r="J32">
            <v>0.92868705802164098</v>
          </cell>
        </row>
        <row r="33">
          <cell r="A33" t="str">
            <v>LB_0045</v>
          </cell>
          <cell r="H33">
            <v>52.27</v>
          </cell>
          <cell r="J33">
            <v>2.0432370384541798</v>
          </cell>
        </row>
        <row r="34">
          <cell r="A34" t="str">
            <v>LB_0046</v>
          </cell>
          <cell r="H34">
            <v>49.317999999999998</v>
          </cell>
          <cell r="J34">
            <v>1.5229057680089757</v>
          </cell>
        </row>
        <row r="35">
          <cell r="A35" t="str">
            <v>LB_0047_P3</v>
          </cell>
          <cell r="H35">
            <v>39.595999999999997</v>
          </cell>
          <cell r="J35">
            <v>1.4190381678482085</v>
          </cell>
        </row>
        <row r="36">
          <cell r="A36" t="str">
            <v>LB_0047_P4</v>
          </cell>
          <cell r="H36">
            <v>35.021999999999998</v>
          </cell>
          <cell r="J36">
            <v>2.2438857247918036</v>
          </cell>
        </row>
        <row r="37">
          <cell r="A37" t="str">
            <v>LB_0048</v>
          </cell>
          <cell r="H37">
            <v>63.100999999999999</v>
          </cell>
          <cell r="J37">
            <v>1.6526415323581771</v>
          </cell>
        </row>
        <row r="38">
          <cell r="A38" t="str">
            <v>LB_0049</v>
          </cell>
          <cell r="H38">
            <v>66.301000000000002</v>
          </cell>
          <cell r="J38">
            <v>1.1139672532411706</v>
          </cell>
        </row>
        <row r="39">
          <cell r="A39" t="str">
            <v>LB_0052</v>
          </cell>
          <cell r="H39">
            <v>128.63900000000001</v>
          </cell>
          <cell r="J39">
            <v>0.69836548043001745</v>
          </cell>
        </row>
        <row r="40">
          <cell r="A40" t="str">
            <v>LB_0053_P2</v>
          </cell>
          <cell r="H40">
            <v>26.838999999999999</v>
          </cell>
          <cell r="J40">
            <v>0.98364320578262987</v>
          </cell>
        </row>
        <row r="41">
          <cell r="A41" t="str">
            <v>LB_0053_P3</v>
          </cell>
          <cell r="H41">
            <v>54.298999999999999</v>
          </cell>
          <cell r="J41">
            <v>1.06729297365459</v>
          </cell>
        </row>
        <row r="42">
          <cell r="A42" t="str">
            <v>LB_0054_P1</v>
          </cell>
          <cell r="H42">
            <v>21.384</v>
          </cell>
          <cell r="J42">
            <v>1.1831275720164609</v>
          </cell>
        </row>
        <row r="43">
          <cell r="A43" t="str">
            <v>LB_0054_P2</v>
          </cell>
          <cell r="H43">
            <v>37.412999999999997</v>
          </cell>
          <cell r="J43">
            <v>1.4625932162617274</v>
          </cell>
        </row>
        <row r="44">
          <cell r="A44" t="str">
            <v>LB_0055</v>
          </cell>
          <cell r="H44">
            <v>51.698999999999998</v>
          </cell>
          <cell r="J44">
            <v>0.97925814167907832</v>
          </cell>
        </row>
        <row r="45">
          <cell r="A45" t="str">
            <v>LB_0056_P6</v>
          </cell>
          <cell r="H45">
            <v>8.4280000000000008</v>
          </cell>
          <cell r="J45">
            <v>7.087902480453625</v>
          </cell>
        </row>
        <row r="46">
          <cell r="A46" t="str">
            <v>LB_0056_P7</v>
          </cell>
          <cell r="H46">
            <v>4.468</v>
          </cell>
          <cell r="J46">
            <v>2.9758281110116385</v>
          </cell>
        </row>
        <row r="47">
          <cell r="A47" t="str">
            <v>LB_0056_P8</v>
          </cell>
          <cell r="H47">
            <v>3.07</v>
          </cell>
          <cell r="J47">
            <v>2.0586319218241043</v>
          </cell>
        </row>
        <row r="48">
          <cell r="A48" t="str">
            <v>LB_0057</v>
          </cell>
          <cell r="H48">
            <v>36.453000000000003</v>
          </cell>
          <cell r="J48">
            <v>0.7646209440300461</v>
          </cell>
        </row>
        <row r="49">
          <cell r="A49" t="str">
            <v>LB_0058</v>
          </cell>
          <cell r="H49">
            <v>34.936</v>
          </cell>
          <cell r="J49">
            <v>0.78462802570077717</v>
          </cell>
        </row>
        <row r="50">
          <cell r="A50" t="str">
            <v>LB_0059</v>
          </cell>
          <cell r="H50">
            <v>78.894000000000005</v>
          </cell>
          <cell r="J50">
            <v>1.1199837756990394</v>
          </cell>
        </row>
      </sheetData>
      <sheetData sheetId="1">
        <row r="19">
          <cell r="W19">
            <v>4.6399999999999997</v>
          </cell>
        </row>
        <row r="20">
          <cell r="W20">
            <v>4.3731609595273024</v>
          </cell>
        </row>
        <row r="21">
          <cell r="W21">
            <v>4.2070078648718736</v>
          </cell>
        </row>
        <row r="23">
          <cell r="W23">
            <v>3.9096644759022574</v>
          </cell>
        </row>
        <row r="24">
          <cell r="V24" t="str">
            <v>Net AP [kg.m-2.yr-1]</v>
          </cell>
          <cell r="W24">
            <v>4.1529202766888638</v>
          </cell>
        </row>
        <row r="28">
          <cell r="W28">
            <v>3.59</v>
          </cell>
        </row>
        <row r="29">
          <cell r="W29">
            <v>3.5707620960030453</v>
          </cell>
        </row>
        <row r="30">
          <cell r="W30">
            <v>2.5085363639520213</v>
          </cell>
        </row>
        <row r="62">
          <cell r="L62" t="str">
            <v>LB_0001</v>
          </cell>
          <cell r="M62" t="str">
            <v>LB_0008</v>
          </cell>
          <cell r="N62" t="str">
            <v>LB_0031</v>
          </cell>
          <cell r="O62" t="str">
            <v>LB_0034</v>
          </cell>
          <cell r="P62" t="str">
            <v>LB_0025</v>
          </cell>
          <cell r="Q62" t="str">
            <v>LB_0045</v>
          </cell>
        </row>
        <row r="63">
          <cell r="K63" t="str">
            <v>Gross Pristine</v>
          </cell>
          <cell r="L63">
            <v>1.7397541537010082</v>
          </cell>
          <cell r="M63">
            <v>0.80626961478647852</v>
          </cell>
          <cell r="N63">
            <v>1.4917571432029797</v>
          </cell>
          <cell r="O63">
            <v>1.28</v>
          </cell>
          <cell r="P63">
            <v>1.57</v>
          </cell>
          <cell r="Q63">
            <v>1.74</v>
          </cell>
        </row>
        <row r="64">
          <cell r="K64" t="str">
            <v xml:space="preserve">Net Pristine </v>
          </cell>
          <cell r="L64">
            <v>1.7072541537010082</v>
          </cell>
          <cell r="M64">
            <v>0.76276961478647853</v>
          </cell>
          <cell r="N64">
            <v>1.4872571432029797</v>
          </cell>
          <cell r="O64">
            <v>1.2597138489188531</v>
          </cell>
          <cell r="P64">
            <v>1.5505494413947793</v>
          </cell>
          <cell r="Q64">
            <v>1.737768330236376</v>
          </cell>
        </row>
        <row r="65">
          <cell r="K65" t="str">
            <v xml:space="preserve">Net MGA </v>
          </cell>
          <cell r="L65">
            <v>1.5691000000000004</v>
          </cell>
          <cell r="M65">
            <v>0.76650000000000007</v>
          </cell>
          <cell r="N65">
            <v>1.4632620000000001</v>
          </cell>
          <cell r="O65">
            <v>1.2307564457730495</v>
          </cell>
          <cell r="P65">
            <v>1.3938662586289736</v>
          </cell>
          <cell r="Q65">
            <v>1.6632</v>
          </cell>
        </row>
        <row r="66">
          <cell r="K66" t="str">
            <v xml:space="preserve">Net AMR-V </v>
          </cell>
          <cell r="L66">
            <v>1.6257999999999999</v>
          </cell>
          <cell r="M66">
            <v>0.72352476190476189</v>
          </cell>
          <cell r="N66">
            <v>1.5326469473684208</v>
          </cell>
          <cell r="O66">
            <v>0.95490844577304923</v>
          </cell>
          <cell r="P66">
            <v>1.2932595919623071</v>
          </cell>
          <cell r="Q66">
            <v>1.3987482352941178</v>
          </cell>
        </row>
        <row r="67">
          <cell r="K67" t="str">
            <v xml:space="preserve">Net AP </v>
          </cell>
          <cell r="L67">
            <v>1.137339412953313</v>
          </cell>
          <cell r="M67">
            <v>0.77922595712710996</v>
          </cell>
          <cell r="N67">
            <v>0.98834387130006085</v>
          </cell>
          <cell r="O67">
            <v>0.90263064717568053</v>
          </cell>
          <cell r="P67">
            <v>2.3700303807418264</v>
          </cell>
          <cell r="Q67">
            <v>2.0432370384541798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 driveId="b!L2a8Hv6NaUyQQZiZ3gNBEkDu1xQLHIBDvvq7EsCIp8SSN_Q5ll_dTpy7dAtii2u0" itemId="01N3URQ6PM3B2ZVCRP7RBIWU2SOFTIIQLW">
      <xxl21:absoluteUrl r:id="rId2"/>
    </xxl21:alternateUrls>
    <sheetNames>
      <sheetName val="Notes"/>
      <sheetName val="Coral growth rates and density"/>
      <sheetName val="Coral taxa average rates"/>
      <sheetName val="CCA calcification rates"/>
      <sheetName val="Macro-&amp; Microbioerosion rates"/>
    </sheetNames>
    <sheetDataSet>
      <sheetData sheetId="0"/>
      <sheetData sheetId="1"/>
      <sheetData sheetId="2">
        <row r="216">
          <cell r="D216">
            <v>1.1671181261934518</v>
          </cell>
          <cell r="F216">
            <v>1.2636470588235298</v>
          </cell>
        </row>
      </sheetData>
      <sheetData sheetId="3"/>
      <sheetData sheetId="4">
        <row r="25">
          <cell r="F25">
            <v>0.20932182870370367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Notes"/>
      <sheetName val="Coral growth rates and density"/>
      <sheetName val="Coral taxa average rates"/>
      <sheetName val="CCA calcification rates"/>
      <sheetName val="Macro-&amp; Microbioerosion rates"/>
    </sheetNames>
    <sheetDataSet>
      <sheetData sheetId="0" refreshError="1"/>
      <sheetData sheetId="1" refreshError="1"/>
      <sheetData sheetId="2" refreshError="1">
        <row r="216">
          <cell r="D216">
            <v>1.1671181261934518</v>
          </cell>
          <cell r="F216">
            <v>1.2636470588235298</v>
          </cell>
        </row>
      </sheetData>
      <sheetData sheetId="3" refreshError="1"/>
      <sheetData sheetId="4" refreshError="1">
        <row r="25">
          <cell r="F25">
            <v>0.20932182870370367</v>
          </cell>
        </row>
      </sheetData>
    </sheetDataSet>
  </externalBook>
</externalLink>
</file>

<file path=xl/persons/person.xml><?xml version="1.0" encoding="utf-8"?>
<personList xmlns="http://schemas.microsoft.com/office/spreadsheetml/2018/threadedcomments" xmlns:x="http://schemas.openxmlformats.org/spreadsheetml/2006/main">
  <person displayName="Leonardo Bertini" id="{B0AC60E3-7E60-3240-9691-6A0EED74B767}" userId="S::ae20067@bristol.ac.uk::8294de0f-129e-4ec3-9096-553e314651ce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J30" dT="2024-08-02T17:10:17.04" personId="{B0AC60E3-7E60-3240-9691-6A0EED74B767}" id="{1FE4EB0B-0600-B745-B471-E002BC0B6043}">
    <text>planar area of coral</text>
  </threadedComment>
  <threadedComment ref="M30" dT="2024-08-02T17:10:17.04" personId="{B0AC60E3-7E60-3240-9691-6A0EED74B767}" id="{099BAA9E-3D39-0042-8F60-0CADC312B626}">
    <text>planar area of coral</text>
  </threadedComment>
  <threadedComment ref="N30" dT="2024-08-02T17:49:54.24" personId="{B0AC60E3-7E60-3240-9691-6A0EED74B767}" id="{3302EFD4-7CE9-C94E-8E83-25B18428A6EC}">
    <text>planar area of reef rock</text>
  </threadedComment>
  <threadedComment ref="P30" dT="2024-08-02T17:09:45.70" personId="{B0AC60E3-7E60-3240-9691-6A0EED74B767}" id="{2A6C1E55-17CB-354C-8558-F2A43A1DA789}">
    <text>planar area of reef rock</text>
  </threadedComment>
  <threadedComment ref="R30" dT="2024-08-02T17:10:02.25" personId="{B0AC60E3-7E60-3240-9691-6A0EED74B767}" id="{7DC313A8-6CA9-0D4B-8DFC-FA8A8EADF8FD}">
    <text>planar area of reef rock</text>
  </threadedComment>
  <threadedComment ref="I32" dT="2024-06-24T11:48:23.55" personId="{B0AC60E3-7E60-3240-9691-6A0EED74B767}" id="{F198EE99-95EA-9742-80AB-04F90102A8EB}">
    <text>this is estimating based on : 
(mass or endobiont / planar footprint / total age of specimen) —&gt; to get units of [g.cm-2.yr-1]</text>
  </threadedComment>
  <threadedComment ref="M32" dT="2024-08-02T17:14:23.08" personId="{B0AC60E3-7E60-3240-9691-6A0EED74B767}" id="{914348C7-1D58-F14D-8163-E671D686DDC8}">
    <text>sum of sponge bioerosion + reef rock bio erosion</text>
  </threadedComment>
  <threadedComment ref="O32" dT="2024-08-02T17:14:23.08" personId="{B0AC60E3-7E60-3240-9691-6A0EED74B767}" id="{E09238D0-1A8C-1D4B-954D-C158E116A6DA}">
    <text>sum of sponge bioerosion + reef rock bio erosion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Relationship Id="rId4" Type="http://schemas.microsoft.com/office/2017/10/relationships/threadedComment" Target="../threadedComments/threadedComment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7C66E7-051A-9743-9BC8-711B8F35664D}">
  <dimension ref="A1:W72"/>
  <sheetViews>
    <sheetView tabSelected="1" zoomScale="61" zoomScaleNormal="125" workbookViewId="0">
      <selection activeCell="S39" sqref="S39"/>
    </sheetView>
  </sheetViews>
  <sheetFormatPr baseColWidth="10" defaultColWidth="11.5" defaultRowHeight="15"/>
  <cols>
    <col min="1" max="1" width="38" customWidth="1"/>
    <col min="2" max="2" width="39" bestFit="1" customWidth="1"/>
    <col min="3" max="3" width="21.5" bestFit="1" customWidth="1"/>
    <col min="4" max="4" width="22.1640625" bestFit="1" customWidth="1"/>
    <col min="5" max="5" width="19.1640625" bestFit="1" customWidth="1"/>
    <col min="6" max="6" width="37.33203125" bestFit="1" customWidth="1"/>
    <col min="7" max="7" width="36" bestFit="1" customWidth="1"/>
    <col min="8" max="8" width="12" bestFit="1" customWidth="1"/>
    <col min="9" max="9" width="45.33203125" bestFit="1" customWidth="1"/>
    <col min="10" max="10" width="15.1640625" customWidth="1"/>
    <col min="11" max="11" width="15" customWidth="1"/>
    <col min="12" max="12" width="9" bestFit="1" customWidth="1"/>
    <col min="13" max="13" width="9.1640625" customWidth="1"/>
    <col min="14" max="14" width="7.1640625" bestFit="1" customWidth="1"/>
    <col min="15" max="15" width="5.83203125" bestFit="1" customWidth="1"/>
    <col min="16" max="16" width="7.1640625" bestFit="1" customWidth="1"/>
    <col min="17" max="17" width="7.5" customWidth="1"/>
    <col min="18" max="18" width="12.5" customWidth="1"/>
    <col min="19" max="19" width="24.83203125" bestFit="1" customWidth="1"/>
    <col min="20" max="20" width="15.83203125" customWidth="1"/>
    <col min="21" max="21" width="10" customWidth="1"/>
  </cols>
  <sheetData>
    <row r="1" spans="1:21" ht="16" thickBot="1"/>
    <row r="2" spans="1:21" ht="16" thickBot="1">
      <c r="I2" s="1" t="s">
        <v>0</v>
      </c>
      <c r="J2" s="2" t="s">
        <v>1</v>
      </c>
      <c r="K2" s="2" t="s">
        <v>2</v>
      </c>
      <c r="L2" s="2" t="s">
        <v>3</v>
      </c>
      <c r="M2" s="3" t="s">
        <v>4</v>
      </c>
      <c r="N2" s="3"/>
      <c r="O2" s="3" t="s">
        <v>5</v>
      </c>
      <c r="P2" s="3"/>
      <c r="Q2" s="3" t="s">
        <v>5</v>
      </c>
      <c r="R2" s="4"/>
    </row>
    <row r="3" spans="1:21">
      <c r="A3" s="5" t="s">
        <v>6</v>
      </c>
      <c r="B3" s="6" t="s">
        <v>7</v>
      </c>
      <c r="C3" s="6" t="s">
        <v>8</v>
      </c>
      <c r="D3" s="6" t="s">
        <v>9</v>
      </c>
      <c r="E3" s="6" t="s">
        <v>10</v>
      </c>
      <c r="F3" s="6" t="s">
        <v>11</v>
      </c>
      <c r="G3" s="7" t="s">
        <v>12</v>
      </c>
      <c r="I3" s="8" t="s">
        <v>13</v>
      </c>
      <c r="J3" s="9" t="s">
        <v>14</v>
      </c>
      <c r="K3" s="9" t="s">
        <v>15</v>
      </c>
      <c r="L3" s="9" t="s">
        <v>16</v>
      </c>
      <c r="M3" s="10" t="s">
        <v>17</v>
      </c>
      <c r="N3" s="10"/>
      <c r="O3" s="10" t="s">
        <v>18</v>
      </c>
      <c r="P3" s="10"/>
      <c r="Q3" s="10" t="s">
        <v>19</v>
      </c>
      <c r="R3" s="11"/>
      <c r="U3" s="12"/>
    </row>
    <row r="4" spans="1:21" ht="17" customHeight="1">
      <c r="A4" s="15" t="s">
        <v>20</v>
      </c>
      <c r="B4" s="16" t="s">
        <v>21</v>
      </c>
      <c r="C4" s="16" t="s">
        <v>22</v>
      </c>
      <c r="D4" s="17" t="s">
        <v>23</v>
      </c>
      <c r="E4" s="18">
        <v>59.049041630406997</v>
      </c>
      <c r="F4" s="19">
        <v>63.072390123735239</v>
      </c>
      <c r="G4" s="20" t="s">
        <v>24</v>
      </c>
      <c r="I4" s="21"/>
      <c r="J4" s="16"/>
      <c r="K4" s="16"/>
      <c r="L4" s="16"/>
      <c r="M4" s="22"/>
      <c r="N4" s="22"/>
      <c r="O4" s="23"/>
      <c r="P4" s="23"/>
      <c r="Q4" s="23"/>
      <c r="R4" s="24"/>
    </row>
    <row r="5" spans="1:21" ht="18" customHeight="1">
      <c r="A5" s="15"/>
      <c r="B5" s="16" t="s">
        <v>25</v>
      </c>
      <c r="C5" s="16" t="s">
        <v>26</v>
      </c>
      <c r="D5" s="17" t="s">
        <v>23</v>
      </c>
      <c r="E5" s="18">
        <v>669.00540000000001</v>
      </c>
      <c r="F5" s="19">
        <v>564.42920000000004</v>
      </c>
      <c r="G5" s="20" t="s">
        <v>27</v>
      </c>
      <c r="I5" s="8" t="s">
        <v>28</v>
      </c>
      <c r="J5" s="16"/>
      <c r="K5" s="16"/>
      <c r="L5" s="16"/>
      <c r="M5" s="22"/>
      <c r="N5" s="22"/>
      <c r="O5" s="23"/>
      <c r="P5" s="23"/>
      <c r="Q5" s="23"/>
      <c r="R5" s="24"/>
    </row>
    <row r="6" spans="1:21" ht="17" customHeight="1">
      <c r="A6" s="15"/>
      <c r="B6" s="16" t="s">
        <v>29</v>
      </c>
      <c r="C6" s="16" t="s">
        <v>30</v>
      </c>
      <c r="D6" s="25" t="s">
        <v>31</v>
      </c>
      <c r="E6" s="18">
        <v>609.95635836959309</v>
      </c>
      <c r="F6" s="19">
        <v>501.35680987626478</v>
      </c>
      <c r="G6" s="20" t="s">
        <v>32</v>
      </c>
      <c r="I6" s="21" t="s">
        <v>33</v>
      </c>
      <c r="J6" s="26">
        <v>9.6808633634452801E-2</v>
      </c>
      <c r="K6" s="26">
        <f>E12/E8</f>
        <v>0.10036955573687532</v>
      </c>
      <c r="L6" s="26">
        <v>1.7659433034017829E-2</v>
      </c>
      <c r="M6" s="27">
        <v>8.994900498882967E-2</v>
      </c>
      <c r="N6" s="27"/>
      <c r="O6" s="28">
        <v>5.3809144785208103E-2</v>
      </c>
      <c r="P6" s="28"/>
      <c r="Q6" s="29">
        <v>0.15007372411072847</v>
      </c>
      <c r="R6" s="30"/>
    </row>
    <row r="7" spans="1:21">
      <c r="A7" s="31"/>
      <c r="B7" s="32"/>
      <c r="C7" s="32"/>
      <c r="D7" s="32"/>
      <c r="E7" s="33"/>
      <c r="F7" s="34"/>
      <c r="G7" s="35"/>
      <c r="I7" s="21" t="s">
        <v>34</v>
      </c>
      <c r="J7" s="26">
        <v>0.12580339766263782</v>
      </c>
      <c r="K7" s="26">
        <f>F12/F8</f>
        <v>0.14562491561456661</v>
      </c>
      <c r="L7" s="26">
        <v>2.2174922765377001E-2</v>
      </c>
      <c r="M7" s="27">
        <v>9.7947444606554898E-2</v>
      </c>
      <c r="N7" s="27"/>
      <c r="O7" s="28">
        <v>6.4080844451343794E-2</v>
      </c>
      <c r="P7" s="28"/>
      <c r="Q7" s="29">
        <v>0.15636250253567727</v>
      </c>
      <c r="R7" s="30"/>
    </row>
    <row r="8" spans="1:21">
      <c r="A8" s="15" t="s">
        <v>35</v>
      </c>
      <c r="B8" s="16" t="s">
        <v>25</v>
      </c>
      <c r="C8" s="16" t="s">
        <v>22</v>
      </c>
      <c r="D8" s="17" t="s">
        <v>23</v>
      </c>
      <c r="E8" s="18">
        <v>1395.825</v>
      </c>
      <c r="F8" s="19">
        <v>969.79039999999998</v>
      </c>
      <c r="G8" s="20" t="s">
        <v>36</v>
      </c>
      <c r="I8" s="8" t="s">
        <v>37</v>
      </c>
      <c r="J8" s="16"/>
      <c r="K8" s="19"/>
      <c r="L8" s="16"/>
      <c r="M8" s="27"/>
      <c r="N8" s="27"/>
      <c r="O8" s="23"/>
      <c r="P8" s="23"/>
      <c r="Q8" s="38"/>
      <c r="R8" s="39"/>
    </row>
    <row r="9" spans="1:21">
      <c r="A9" s="15"/>
      <c r="B9" s="16" t="s">
        <v>38</v>
      </c>
      <c r="C9" s="16" t="s">
        <v>26</v>
      </c>
      <c r="D9" s="17" t="s">
        <v>23</v>
      </c>
      <c r="E9" s="18">
        <v>69.082868637548387</v>
      </c>
      <c r="F9" s="19">
        <v>91.061784554721697</v>
      </c>
      <c r="G9" s="20" t="s">
        <v>39</v>
      </c>
      <c r="I9" s="21" t="s">
        <v>40</v>
      </c>
      <c r="J9" s="40">
        <f>E6/F6</f>
        <v>1.2166112962944111</v>
      </c>
      <c r="K9" s="19">
        <f>E13/F13</f>
        <v>1.5155443886963882</v>
      </c>
      <c r="L9" s="40">
        <f>E17/F17</f>
        <v>1.3110890694348565</v>
      </c>
      <c r="M9" s="23">
        <f>E33/F33</f>
        <v>1.4632080311305085</v>
      </c>
      <c r="N9" s="23"/>
      <c r="O9" s="23">
        <f>E21/F21</f>
        <v>1.4668445949070343</v>
      </c>
      <c r="P9" s="23"/>
      <c r="Q9" s="38">
        <f>E28/F28</f>
        <v>1.3837601422014143</v>
      </c>
      <c r="R9" s="39"/>
    </row>
    <row r="10" spans="1:21">
      <c r="A10" s="15"/>
      <c r="B10" s="16" t="s">
        <v>41</v>
      </c>
      <c r="C10" s="16" t="s">
        <v>30</v>
      </c>
      <c r="D10" s="17" t="s">
        <v>23</v>
      </c>
      <c r="E10" s="18">
        <v>51.22660801</v>
      </c>
      <c r="F10" s="19">
        <v>37.389360000000003</v>
      </c>
      <c r="G10" s="20" t="s">
        <v>42</v>
      </c>
      <c r="I10" s="21" t="s">
        <v>43</v>
      </c>
      <c r="J10" s="43">
        <f>J9/(E5/F5)-1</f>
        <v>2.6435572386138473E-2</v>
      </c>
      <c r="K10" s="43">
        <f>K9/(E8/F8)-1</f>
        <v>5.2968960243315433E-2</v>
      </c>
      <c r="L10" s="43">
        <f>L9/(E16/F16)-1</f>
        <v>4.4371324873360152E-3</v>
      </c>
      <c r="M10" s="44">
        <f>M9/(E30/F30)-1</f>
        <v>7.3383613188464647E-3</v>
      </c>
      <c r="N10" s="44"/>
      <c r="O10" s="28">
        <f>O9/(E20/F20)-1</f>
        <v>1.0974986039379742E-2</v>
      </c>
      <c r="P10" s="28"/>
      <c r="Q10" s="45">
        <f>Q9/(E26/F26) -1</f>
        <v>5.547273597725777E-3</v>
      </c>
      <c r="R10" s="46"/>
      <c r="U10" s="47"/>
    </row>
    <row r="11" spans="1:21">
      <c r="A11" s="15"/>
      <c r="B11" s="16" t="s">
        <v>44</v>
      </c>
      <c r="C11" s="16" t="s">
        <v>45</v>
      </c>
      <c r="D11" s="25" t="s">
        <v>46</v>
      </c>
      <c r="E11" s="18">
        <v>19.788858488875604</v>
      </c>
      <c r="F11" s="19">
        <v>12.774500609095099</v>
      </c>
      <c r="G11" s="20" t="s">
        <v>32</v>
      </c>
      <c r="I11" s="21" t="s">
        <v>47</v>
      </c>
      <c r="J11" s="18">
        <v>686.69094067841797</v>
      </c>
      <c r="K11" s="18">
        <f>F8*K9</f>
        <v>1469.7603989316258</v>
      </c>
      <c r="L11" s="18">
        <v>1139.0250176848995</v>
      </c>
      <c r="M11" s="23">
        <f>F30*M9</f>
        <v>2246.7003298957129</v>
      </c>
      <c r="N11" s="23"/>
      <c r="O11" s="23">
        <f>O9*F20</f>
        <v>2011.74215764472</v>
      </c>
      <c r="P11" s="23"/>
      <c r="Q11" s="49">
        <v>477.68952252068499</v>
      </c>
      <c r="R11" s="50"/>
    </row>
    <row r="12" spans="1:21">
      <c r="A12" s="15"/>
      <c r="B12" s="16" t="s">
        <v>48</v>
      </c>
      <c r="C12" s="16" t="s">
        <v>49</v>
      </c>
      <c r="D12" s="17" t="s">
        <v>23</v>
      </c>
      <c r="E12" s="18">
        <v>140.098335136424</v>
      </c>
      <c r="F12" s="19">
        <v>141.22564516381681</v>
      </c>
      <c r="G12" s="20" t="s">
        <v>50</v>
      </c>
      <c r="I12" s="21" t="s">
        <v>51</v>
      </c>
      <c r="J12" s="43">
        <v>-2.5754731321990399E-2</v>
      </c>
      <c r="K12" s="43">
        <f>(E8-K11)/K11</f>
        <v>-5.0304389059175669E-2</v>
      </c>
      <c r="L12" s="43">
        <v>-4.417531315621487E-3</v>
      </c>
      <c r="M12" s="44">
        <f>(E30-M11)/M11</f>
        <v>-7.2849020752459321E-3</v>
      </c>
      <c r="N12" s="44"/>
      <c r="O12" s="44">
        <f>(E20-O11)/E20</f>
        <v>-1.0974986039379804E-2</v>
      </c>
      <c r="P12" s="44"/>
      <c r="Q12" s="45">
        <v>-7.39920461732864E-3</v>
      </c>
      <c r="R12" s="46"/>
    </row>
    <row r="13" spans="1:21">
      <c r="A13" s="15"/>
      <c r="B13" s="16" t="s">
        <v>29</v>
      </c>
      <c r="C13" s="16" t="s">
        <v>52</v>
      </c>
      <c r="D13" s="25" t="s">
        <v>53</v>
      </c>
      <c r="E13" s="18">
        <v>1255.7266648635759</v>
      </c>
      <c r="F13" s="19">
        <v>828.56475483618317</v>
      </c>
      <c r="G13" s="20" t="s">
        <v>32</v>
      </c>
      <c r="I13" s="21" t="s">
        <v>54</v>
      </c>
      <c r="J13" s="26">
        <v>-0.23047679607143101</v>
      </c>
      <c r="K13" s="26">
        <f>((E12)-(K9*F12))/(K9*F12)</f>
        <v>-0.34543806495530649</v>
      </c>
      <c r="L13" s="26">
        <v>-0.20363046036892901</v>
      </c>
      <c r="M13" s="27">
        <f>(E31-(F31*M9))/(F31*M9)</f>
        <v>-0.2562554074993551</v>
      </c>
      <c r="N13" s="27"/>
      <c r="O13" s="28">
        <f>((F22*O9)-E22)/(F22*O9)</f>
        <v>-2.20767547242787E-2</v>
      </c>
      <c r="P13" s="28"/>
      <c r="Q13" s="28">
        <f>(SUM(E25,E27)-(Q9*SUM(F25,F27)))/(Q9*SUM(F25,F27))</f>
        <v>-3.3743941485585592E-2</v>
      </c>
      <c r="R13" s="51"/>
    </row>
    <row r="14" spans="1:21">
      <c r="A14" s="31"/>
      <c r="B14" s="32"/>
      <c r="C14" s="32"/>
      <c r="D14" s="32"/>
      <c r="E14" s="33"/>
      <c r="F14" s="34"/>
      <c r="G14" s="35"/>
      <c r="I14" s="21"/>
      <c r="J14" s="16"/>
      <c r="K14" s="16"/>
      <c r="L14" s="16"/>
      <c r="M14" s="22"/>
      <c r="N14" s="22"/>
      <c r="O14" s="22"/>
      <c r="P14" s="22"/>
      <c r="Q14" s="22"/>
      <c r="R14" s="52"/>
    </row>
    <row r="15" spans="1:21">
      <c r="A15" s="15" t="s">
        <v>55</v>
      </c>
      <c r="B15" s="16" t="s">
        <v>56</v>
      </c>
      <c r="C15" s="16" t="s">
        <v>22</v>
      </c>
      <c r="D15" s="17" t="s">
        <v>23</v>
      </c>
      <c r="E15" s="18">
        <v>19.678174034498799</v>
      </c>
      <c r="F15" s="19">
        <v>18.846814679073979</v>
      </c>
      <c r="G15" s="20" t="s">
        <v>57</v>
      </c>
      <c r="I15" s="8" t="s">
        <v>58</v>
      </c>
      <c r="J15" s="16"/>
      <c r="K15" s="16"/>
      <c r="L15" s="16"/>
      <c r="M15" s="22"/>
      <c r="N15" s="22"/>
      <c r="O15" s="22"/>
      <c r="P15" s="22"/>
      <c r="Q15" s="22"/>
      <c r="R15" s="52"/>
    </row>
    <row r="16" spans="1:21">
      <c r="A16" s="15"/>
      <c r="B16" s="16" t="s">
        <v>25</v>
      </c>
      <c r="C16" s="16" t="s">
        <v>26</v>
      </c>
      <c r="D16" s="17" t="s">
        <v>23</v>
      </c>
      <c r="E16" s="18">
        <v>1133.9933390000001</v>
      </c>
      <c r="F16" s="19">
        <v>868.76250000000005</v>
      </c>
      <c r="G16" s="20" t="s">
        <v>59</v>
      </c>
      <c r="I16" s="21" t="s">
        <v>60</v>
      </c>
      <c r="J16" s="19">
        <v>6</v>
      </c>
      <c r="K16" s="19">
        <v>10</v>
      </c>
      <c r="L16" s="19">
        <v>9</v>
      </c>
      <c r="M16" s="23">
        <v>12</v>
      </c>
      <c r="N16" s="23"/>
      <c r="O16" s="23">
        <v>6</v>
      </c>
      <c r="P16" s="23"/>
      <c r="Q16" s="53">
        <v>4</v>
      </c>
      <c r="R16" s="54"/>
    </row>
    <row r="17" spans="1:23" ht="28" customHeight="1">
      <c r="A17" s="15"/>
      <c r="B17" s="16" t="s">
        <v>29</v>
      </c>
      <c r="C17" s="16" t="s">
        <v>30</v>
      </c>
      <c r="D17" s="16" t="s">
        <v>61</v>
      </c>
      <c r="E17" s="18">
        <v>1114.3151649655013</v>
      </c>
      <c r="F17" s="19">
        <v>849.91568532092606</v>
      </c>
      <c r="G17" s="20" t="s">
        <v>32</v>
      </c>
      <c r="I17" s="21" t="s">
        <v>62</v>
      </c>
      <c r="J17" s="19">
        <v>7</v>
      </c>
      <c r="K17" s="19">
        <v>11</v>
      </c>
      <c r="L17" s="19">
        <v>10</v>
      </c>
      <c r="M17" s="23">
        <v>13</v>
      </c>
      <c r="N17" s="23"/>
      <c r="O17" s="23">
        <v>6</v>
      </c>
      <c r="P17" s="23"/>
      <c r="Q17" s="23">
        <v>4.5</v>
      </c>
      <c r="R17" s="24"/>
    </row>
    <row r="18" spans="1:23">
      <c r="A18" s="31"/>
      <c r="B18" s="32"/>
      <c r="C18" s="32"/>
      <c r="D18" s="32"/>
      <c r="E18" s="33"/>
      <c r="F18" s="34"/>
      <c r="G18" s="35"/>
      <c r="I18" s="21" t="s">
        <v>63</v>
      </c>
      <c r="J18" s="16">
        <v>14.3</v>
      </c>
      <c r="K18" s="16">
        <v>5.32</v>
      </c>
      <c r="L18" s="40">
        <v>11.378</v>
      </c>
      <c r="M18" s="23">
        <v>8.7200000000000006</v>
      </c>
      <c r="N18" s="23"/>
      <c r="O18" s="23">
        <v>10.67</v>
      </c>
      <c r="P18" s="23"/>
      <c r="Q18" s="23">
        <v>12.6</v>
      </c>
      <c r="R18" s="24"/>
    </row>
    <row r="19" spans="1:23">
      <c r="A19" s="15" t="s">
        <v>64</v>
      </c>
      <c r="B19" s="16" t="s">
        <v>65</v>
      </c>
      <c r="C19" s="16" t="s">
        <v>22</v>
      </c>
      <c r="D19" s="17" t="s">
        <v>23</v>
      </c>
      <c r="E19" s="18">
        <v>94.931233753217839</v>
      </c>
      <c r="F19" s="19">
        <v>79.752994968006078</v>
      </c>
      <c r="G19" s="20" t="s">
        <v>66</v>
      </c>
      <c r="I19" s="21" t="s">
        <v>67</v>
      </c>
      <c r="J19" s="19">
        <v>14.42</v>
      </c>
      <c r="K19" s="40">
        <f>56.32/10.5</f>
        <v>5.3638095238095236</v>
      </c>
      <c r="L19" s="40">
        <f>110.88/9.5</f>
        <v>11.67157894736842</v>
      </c>
      <c r="M19" s="23">
        <f>94.1/12.5</f>
        <v>7.5279999999999996</v>
      </c>
      <c r="N19" s="23"/>
      <c r="O19" s="23">
        <f>59/6</f>
        <v>9.8333333333333339</v>
      </c>
      <c r="P19" s="23"/>
      <c r="Q19" s="23">
        <f>47.18/4.25</f>
        <v>11.101176470588236</v>
      </c>
      <c r="R19" s="24"/>
      <c r="V19" s="47"/>
      <c r="W19" s="14"/>
    </row>
    <row r="20" spans="1:23">
      <c r="A20" s="15"/>
      <c r="B20" s="16" t="s">
        <v>25</v>
      </c>
      <c r="C20" s="16" t="s">
        <v>26</v>
      </c>
      <c r="D20" s="17" t="s">
        <v>23</v>
      </c>
      <c r="E20" s="55">
        <v>1989.903</v>
      </c>
      <c r="F20" s="56">
        <v>1371.4760000000001</v>
      </c>
      <c r="G20" s="20" t="s">
        <v>68</v>
      </c>
      <c r="I20" s="21" t="s">
        <v>69</v>
      </c>
      <c r="J20" s="16">
        <v>1.1200000000000001</v>
      </c>
      <c r="K20" s="16">
        <v>1.52</v>
      </c>
      <c r="L20" s="40">
        <v>1.29</v>
      </c>
      <c r="M20" s="23">
        <v>1.43</v>
      </c>
      <c r="N20" s="23"/>
      <c r="O20" s="23">
        <v>1.32</v>
      </c>
      <c r="P20" s="23"/>
      <c r="Q20" s="23">
        <v>1.32</v>
      </c>
      <c r="R20" s="24"/>
      <c r="V20" s="47"/>
      <c r="W20" s="14"/>
    </row>
    <row r="21" spans="1:23" ht="16" customHeight="1">
      <c r="A21" s="15"/>
      <c r="B21" s="16" t="s">
        <v>29</v>
      </c>
      <c r="C21" s="16" t="s">
        <v>30</v>
      </c>
      <c r="D21" s="17" t="s">
        <v>23</v>
      </c>
      <c r="E21" s="18">
        <v>1882.828021364478</v>
      </c>
      <c r="F21" s="19">
        <v>1283.5906597752489</v>
      </c>
      <c r="G21" s="20" t="s">
        <v>70</v>
      </c>
      <c r="I21" s="21" t="s">
        <v>71</v>
      </c>
      <c r="J21" s="16">
        <v>1.1499999999999999</v>
      </c>
      <c r="K21" s="16">
        <v>1.43</v>
      </c>
      <c r="L21" s="40">
        <v>1.3169999999999999</v>
      </c>
      <c r="M21" s="23">
        <v>1.29</v>
      </c>
      <c r="N21" s="23"/>
      <c r="O21" s="23">
        <v>1.33</v>
      </c>
      <c r="P21" s="23"/>
      <c r="Q21" s="23">
        <v>1.26</v>
      </c>
      <c r="R21" s="24"/>
      <c r="V21" s="47"/>
      <c r="W21" s="14"/>
    </row>
    <row r="22" spans="1:23" ht="16" customHeight="1">
      <c r="A22" s="15"/>
      <c r="B22" s="16" t="s">
        <v>72</v>
      </c>
      <c r="C22" s="16" t="s">
        <v>45</v>
      </c>
      <c r="D22" s="16" t="s">
        <v>73</v>
      </c>
      <c r="E22" s="18">
        <f>E20-E19-E21</f>
        <v>12.14374488230419</v>
      </c>
      <c r="F22" s="19">
        <v>8.1</v>
      </c>
      <c r="G22" s="20" t="s">
        <v>32</v>
      </c>
      <c r="I22" s="21" t="s">
        <v>74</v>
      </c>
      <c r="J22" s="57">
        <f>(J18/10)*J20</f>
        <v>1.6016000000000004</v>
      </c>
      <c r="K22" s="57">
        <v>0.81</v>
      </c>
      <c r="L22" s="57">
        <f>(L18/10)*L20</f>
        <v>1.467762</v>
      </c>
      <c r="M22" s="23">
        <f>(M18/10)*M20</f>
        <v>1.2469600000000001</v>
      </c>
      <c r="N22" s="23"/>
      <c r="O22" s="23">
        <f>(O18/10)*O20</f>
        <v>1.4084399999999999</v>
      </c>
      <c r="P22" s="23"/>
      <c r="Q22" s="23">
        <f>(Q18/10)*Q20</f>
        <v>1.6632</v>
      </c>
      <c r="R22" s="24"/>
      <c r="V22" s="47"/>
      <c r="W22" s="14"/>
    </row>
    <row r="23" spans="1:23">
      <c r="A23" s="15"/>
      <c r="G23" s="48"/>
      <c r="I23" s="21" t="s">
        <v>75</v>
      </c>
      <c r="J23" s="40">
        <f>(J19/10)*J21</f>
        <v>1.6582999999999999</v>
      </c>
      <c r="K23" s="40">
        <f>(K19/10)*K21</f>
        <v>0.76702476190476188</v>
      </c>
      <c r="L23" s="40">
        <f>(L19/10)*L21</f>
        <v>1.5371469473684207</v>
      </c>
      <c r="M23" s="23">
        <f>(M19/10)*M21</f>
        <v>0.97111199999999986</v>
      </c>
      <c r="N23" s="23"/>
      <c r="O23" s="23">
        <f>(O19/10)*O21</f>
        <v>1.3078333333333334</v>
      </c>
      <c r="P23" s="23"/>
      <c r="Q23" s="23">
        <f>(Q19/10)*Q21</f>
        <v>1.3987482352941178</v>
      </c>
      <c r="R23" s="24"/>
    </row>
    <row r="24" spans="1:23">
      <c r="A24" s="31"/>
      <c r="B24" s="32"/>
      <c r="C24" s="32"/>
      <c r="D24" s="32"/>
      <c r="E24" s="33"/>
      <c r="F24" s="34"/>
      <c r="G24" s="35"/>
      <c r="I24" s="58" t="s">
        <v>76</v>
      </c>
      <c r="J24" s="59">
        <f>_xlfn.XLOOKUP(J3,[1]Carbonate_Production_Curves!$A$2:$A$50,[1]Carbonate_Production_Curves!$J$2:$J$50)</f>
        <v>1.169839412953313</v>
      </c>
      <c r="K24" s="59">
        <f>_xlfn.XLOOKUP(K3,[1]Carbonate_Production_Curves!$A$2:$A$50,[1]Carbonate_Production_Curves!$J$2:$J$50)</f>
        <v>0.82272595712710994</v>
      </c>
      <c r="L24" s="59">
        <f>_xlfn.XLOOKUP(L3,[1]Carbonate_Production_Curves!$A$2:$A$50,[1]Carbonate_Production_Curves!$J$2:$J$50)</f>
        <v>0.9928438713000608</v>
      </c>
      <c r="M24" s="23">
        <f>_xlfn.XLOOKUP(M3,[1]Carbonate_Production_Curves!$A$2:$A$50,[1]Carbonate_Production_Curves!$J$2:$J$50)</f>
        <v>0.91883420140263117</v>
      </c>
      <c r="N24" s="23"/>
      <c r="O24" s="23">
        <f>_xlfn.XLOOKUP(O3,[1]Carbonate_Production_Curves!$A$2:$A$50,[1]Carbonate_Production_Curves!$J$2:$J$50)</f>
        <v>2.3846041221128527</v>
      </c>
      <c r="P24" s="23"/>
      <c r="Q24" s="23">
        <f>_xlfn.XLOOKUP(Q3,[1]Carbonate_Production_Curves!$A$2:$A$50,[1]Carbonate_Production_Curves!$J$2:$J$50)</f>
        <v>2.0432370384541798</v>
      </c>
      <c r="R24" s="24"/>
    </row>
    <row r="25" spans="1:23">
      <c r="A25" s="15" t="s">
        <v>77</v>
      </c>
      <c r="B25" s="16" t="s">
        <v>65</v>
      </c>
      <c r="C25" s="16" t="s">
        <v>22</v>
      </c>
      <c r="D25" s="17" t="s">
        <v>23</v>
      </c>
      <c r="E25" s="18">
        <v>74.727986072613675</v>
      </c>
      <c r="F25" s="18">
        <v>55.887110445531327</v>
      </c>
      <c r="G25" s="20" t="s">
        <v>78</v>
      </c>
      <c r="I25" s="21" t="s">
        <v>79</v>
      </c>
      <c r="J25" s="63">
        <f>(J18/10)*J9</f>
        <v>1.7397541537010082</v>
      </c>
      <c r="K25" s="63">
        <f>(K18/10)*K9</f>
        <v>0.80626961478647852</v>
      </c>
      <c r="L25" s="63">
        <f>(L18/10)*L9</f>
        <v>1.4917571432029797</v>
      </c>
      <c r="M25" s="64">
        <f>(M18/10)*M9</f>
        <v>1.2759174031458036</v>
      </c>
      <c r="N25" s="64"/>
      <c r="O25" s="65">
        <f>(O18/10)*O9</f>
        <v>1.5651231827658056</v>
      </c>
      <c r="P25" s="65"/>
      <c r="Q25" s="65">
        <f>(Q18/10)*Q9</f>
        <v>1.7435377791737821</v>
      </c>
      <c r="R25" s="66"/>
    </row>
    <row r="26" spans="1:23">
      <c r="A26" s="15"/>
      <c r="B26" s="16" t="s">
        <v>25</v>
      </c>
      <c r="C26" s="16" t="s">
        <v>26</v>
      </c>
      <c r="D26" s="17" t="s">
        <v>23</v>
      </c>
      <c r="E26" s="18">
        <v>471.20009938201298</v>
      </c>
      <c r="F26" s="18">
        <v>342.41048054670318</v>
      </c>
      <c r="G26" s="20" t="s">
        <v>80</v>
      </c>
      <c r="I26" s="21" t="s">
        <v>81</v>
      </c>
      <c r="J26" s="63"/>
      <c r="K26" s="63"/>
      <c r="L26" s="63"/>
      <c r="M26" s="65"/>
      <c r="N26" s="65"/>
      <c r="O26" s="65"/>
      <c r="P26" s="65"/>
      <c r="Q26" s="65"/>
      <c r="R26" s="66"/>
    </row>
    <row r="27" spans="1:23">
      <c r="A27" s="15"/>
      <c r="B27" s="16" t="s">
        <v>72</v>
      </c>
      <c r="C27" s="16" t="s">
        <v>30</v>
      </c>
      <c r="D27" s="17" t="s">
        <v>23</v>
      </c>
      <c r="E27" s="40">
        <v>0.120217335990986</v>
      </c>
      <c r="F27" s="40">
        <v>9.2301677091523052E-2</v>
      </c>
      <c r="G27" s="48" t="s">
        <v>82</v>
      </c>
      <c r="I27" s="21"/>
      <c r="J27" s="16"/>
      <c r="K27" s="16"/>
      <c r="L27" s="16"/>
      <c r="M27" s="23"/>
      <c r="N27" s="23"/>
      <c r="O27" s="23"/>
      <c r="P27" s="23"/>
      <c r="Q27" s="23"/>
      <c r="R27" s="24"/>
    </row>
    <row r="28" spans="1:23">
      <c r="A28" s="15"/>
      <c r="B28" s="16" t="s">
        <v>29</v>
      </c>
      <c r="C28" s="16" t="s">
        <v>45</v>
      </c>
      <c r="D28" s="16" t="s">
        <v>83</v>
      </c>
      <c r="E28" s="18">
        <f>E26-E25-E27</f>
        <v>396.35189597340838</v>
      </c>
      <c r="F28" s="18">
        <f>F26-F25-F27</f>
        <v>286.43106842408031</v>
      </c>
      <c r="G28" s="20" t="s">
        <v>32</v>
      </c>
      <c r="I28" s="21" t="s">
        <v>84</v>
      </c>
      <c r="M28" s="22"/>
      <c r="N28" s="22"/>
      <c r="O28" s="23"/>
      <c r="P28" s="23"/>
      <c r="Q28" s="23"/>
      <c r="R28" s="24"/>
    </row>
    <row r="29" spans="1:23">
      <c r="A29" s="31"/>
      <c r="B29" s="32"/>
      <c r="C29" s="32"/>
      <c r="D29" s="32"/>
      <c r="E29" s="33"/>
      <c r="F29" s="34"/>
      <c r="G29" s="35"/>
      <c r="I29" s="68" t="s">
        <v>85</v>
      </c>
      <c r="J29" s="69" t="s">
        <v>86</v>
      </c>
      <c r="K29" s="69" t="s">
        <v>86</v>
      </c>
      <c r="L29" s="69" t="s">
        <v>86</v>
      </c>
      <c r="M29" s="70" t="s">
        <v>86</v>
      </c>
      <c r="N29" s="70" t="s">
        <v>87</v>
      </c>
      <c r="O29" s="69" t="s">
        <v>86</v>
      </c>
      <c r="P29" s="69" t="s">
        <v>87</v>
      </c>
      <c r="Q29" s="69" t="s">
        <v>86</v>
      </c>
      <c r="R29" s="71" t="s">
        <v>87</v>
      </c>
      <c r="U29" s="72"/>
    </row>
    <row r="30" spans="1:23" ht="15" customHeight="1">
      <c r="A30" s="15" t="s">
        <v>88</v>
      </c>
      <c r="B30" s="16" t="s">
        <v>25</v>
      </c>
      <c r="C30" s="16" t="s">
        <v>22</v>
      </c>
      <c r="D30" s="17" t="s">
        <v>23</v>
      </c>
      <c r="E30" s="55">
        <v>2230.3333379999999</v>
      </c>
      <c r="F30" s="56">
        <v>1535.462</v>
      </c>
      <c r="G30" s="73" t="s">
        <v>89</v>
      </c>
      <c r="I30" s="21" t="s">
        <v>90</v>
      </c>
      <c r="J30" s="74">
        <f>_xlfn.XLOOKUP(J3,[1]Carbonate_Production_Curves!$A$2:$A$50,[1]Carbonate_Production_Curves!$H$2:$H$50)</f>
        <v>84.626999999999995</v>
      </c>
      <c r="K30" s="74">
        <f>_xlfn.XLOOKUP(K3,[1]Carbonate_Production_Curves!$A$2:$A$50,[1]Carbonate_Production_Curves!$H$2:$H$50)</f>
        <v>162.387</v>
      </c>
      <c r="L30" s="74">
        <f>_xlfn.XLOOKUP(L3,[1]Carbonate_Production_Curves!$A$2:$A$50,[1]Carbonate_Production_Curves!$H$2:$H$50)</f>
        <v>114.44</v>
      </c>
      <c r="M30" s="74">
        <f>_xlfn.XLOOKUP(M3,[1]Carbonate_Production_Curves!$A$2:$A$50,[1]Carbonate_Production_Curves!$H$2:$H$50)</f>
        <v>189.501</v>
      </c>
      <c r="N30" s="75">
        <f>D58</f>
        <v>33.708339744463444</v>
      </c>
      <c r="O30" s="74">
        <f>_xlfn.XLOOKUP(O3,[1]Carbonate_Production_Curves!$A$2:$A$50,[1]Carbonate_Production_Curves!$H$2:$H$50)</f>
        <v>138.87700000000001</v>
      </c>
      <c r="P30" s="74">
        <f>D57</f>
        <v>41.817182071685131</v>
      </c>
      <c r="Q30" s="74">
        <f>_xlfn.XLOOKUP(Q3,[1]Carbonate_Production_Curves!$A$2:$A$50,[1]Carbonate_Production_Curves!$H$2:$H$50)</f>
        <v>52.27</v>
      </c>
      <c r="R30" s="76">
        <f>D56</f>
        <v>20.472573056146828</v>
      </c>
      <c r="U30" s="72"/>
    </row>
    <row r="31" spans="1:23">
      <c r="A31" s="15"/>
      <c r="B31" s="16" t="s">
        <v>91</v>
      </c>
      <c r="C31" s="16" t="s">
        <v>26</v>
      </c>
      <c r="D31" s="17" t="s">
        <v>23</v>
      </c>
      <c r="E31" s="55">
        <v>93.751999999999995</v>
      </c>
      <c r="F31" s="56">
        <v>86.149079999999998</v>
      </c>
      <c r="G31" s="73" t="s">
        <v>92</v>
      </c>
      <c r="I31" s="21" t="s">
        <v>93</v>
      </c>
      <c r="J31" s="19">
        <f>(F4*J9)-E4</f>
        <v>17.685540678417347</v>
      </c>
      <c r="K31" s="19">
        <f>(F12*K9)-E12</f>
        <v>73.93539893162577</v>
      </c>
      <c r="L31" s="19">
        <f>(F15*L9)-E15</f>
        <v>5.0316786848994965</v>
      </c>
      <c r="M31" s="19">
        <f>((F31*M9)-E31)</f>
        <v>32.302025730504667</v>
      </c>
      <c r="N31" s="19">
        <f>E58</f>
        <v>16.432376000000005</v>
      </c>
      <c r="O31" s="41">
        <f>E22</f>
        <v>12.14374488230419</v>
      </c>
      <c r="P31" s="19">
        <f>E57</f>
        <v>16.722959201990662</v>
      </c>
      <c r="Q31" s="19">
        <f>F27*Q9</f>
        <v>0.12772338181759496</v>
      </c>
      <c r="R31" s="77">
        <f>E56</f>
        <v>25.868812729342721</v>
      </c>
    </row>
    <row r="32" spans="1:23">
      <c r="A32" s="15"/>
      <c r="B32" s="16" t="s">
        <v>94</v>
      </c>
      <c r="C32" s="16" t="s">
        <v>30</v>
      </c>
      <c r="D32" s="17" t="s">
        <v>23</v>
      </c>
      <c r="E32" s="55">
        <v>90.308229999999995</v>
      </c>
      <c r="F32" s="56">
        <v>50.828859999999999</v>
      </c>
      <c r="G32" s="73" t="s">
        <v>95</v>
      </c>
      <c r="I32" s="21" t="s">
        <v>96</v>
      </c>
      <c r="J32" s="40">
        <f>ROUND((J31/J30/J17),3)</f>
        <v>0.03</v>
      </c>
      <c r="K32" s="40">
        <f>ROUND((K31/K30/K17),3)</f>
        <v>4.1000000000000002E-2</v>
      </c>
      <c r="L32" s="40">
        <f>ROUND((L31/L30/L17),3)</f>
        <v>4.0000000000000001E-3</v>
      </c>
      <c r="M32" s="40">
        <f>((F31*M9)-E31)/M30/M17</f>
        <v>1.3112179935930789E-2</v>
      </c>
      <c r="N32" s="40">
        <f>N31/N30/G53</f>
        <v>9.749739159253018E-2</v>
      </c>
      <c r="O32" s="40">
        <f>O31/O30/O17</f>
        <v>1.4573741371026386E-2</v>
      </c>
      <c r="P32" s="40">
        <f>ROUND((P31/P30/G53),3)</f>
        <v>0.08</v>
      </c>
      <c r="Q32" s="40">
        <f>Q31/Q30/Q17</f>
        <v>5.4300695881467995E-4</v>
      </c>
      <c r="R32" s="78">
        <f>ROUND((R31/R30/G53),3)</f>
        <v>0.253</v>
      </c>
    </row>
    <row r="33" spans="1:21">
      <c r="A33" s="15"/>
      <c r="B33" s="16" t="s">
        <v>29</v>
      </c>
      <c r="C33" s="16" t="s">
        <v>45</v>
      </c>
      <c r="D33" s="16" t="s">
        <v>97</v>
      </c>
      <c r="E33" s="18">
        <f>E30-(E31+E32)</f>
        <v>2046.2731079999999</v>
      </c>
      <c r="F33" s="19">
        <f>F30-(F31+F32)</f>
        <v>1398.48406</v>
      </c>
      <c r="G33" s="20" t="s">
        <v>32</v>
      </c>
      <c r="I33" s="21" t="s">
        <v>98</v>
      </c>
      <c r="J33" s="40">
        <f>ROUND((J31/J30/J16),3)</f>
        <v>3.5000000000000003E-2</v>
      </c>
      <c r="K33" s="40">
        <f>ROUND((K31/K30/K16),3)</f>
        <v>4.5999999999999999E-2</v>
      </c>
      <c r="L33" s="40">
        <f>ROUND((L31/L30/L16),3)</f>
        <v>5.0000000000000001E-3</v>
      </c>
      <c r="M33" s="40">
        <f>((F31*M9)-E31)/139.51/M16</f>
        <v>1.9294928517970437E-2</v>
      </c>
      <c r="N33" s="40">
        <f>N31/N30/G52</f>
        <v>0.19499478318506036</v>
      </c>
      <c r="O33" s="40">
        <f>O31/O30/O16</f>
        <v>1.4573741371026386E-2</v>
      </c>
      <c r="P33" s="40">
        <f>ROUND((P31/P30/G52),3)</f>
        <v>0.16</v>
      </c>
      <c r="Q33" s="40">
        <f>Q31/Q30/Q16</f>
        <v>6.1088282866651495E-4</v>
      </c>
      <c r="R33" s="78">
        <f>ROUND((R31/R30/G52),3)</f>
        <v>0.505</v>
      </c>
    </row>
    <row r="34" spans="1:21" ht="16" thickBot="1">
      <c r="A34" s="79"/>
      <c r="B34" s="80" t="s">
        <v>99</v>
      </c>
      <c r="C34" s="80" t="s">
        <v>49</v>
      </c>
      <c r="D34" s="80" t="s">
        <v>100</v>
      </c>
      <c r="E34" s="81">
        <f>E30-E32</f>
        <v>2140.0251079999998</v>
      </c>
      <c r="F34" s="81">
        <f>F30-F32</f>
        <v>1484.6331399999999</v>
      </c>
      <c r="G34" s="82" t="s">
        <v>32</v>
      </c>
      <c r="I34" s="21" t="s">
        <v>101</v>
      </c>
      <c r="J34" s="83">
        <f>(AVERAGE(J32:J33)*10000)/1000</f>
        <v>0.32500000000000001</v>
      </c>
      <c r="K34" s="83">
        <f>(AVERAGE(K32:K33)*10000)/1000</f>
        <v>0.43499999999999994</v>
      </c>
      <c r="L34" s="83">
        <f t="shared" ref="L34" si="0">(AVERAGE(L32:L33)*10000)/1000</f>
        <v>4.5000000000000005E-2</v>
      </c>
      <c r="M34" s="83">
        <f>(AVERAGE(M32:M33)*10000)/1000</f>
        <v>0.16203554226950612</v>
      </c>
      <c r="N34" s="84" t="s">
        <v>32</v>
      </c>
      <c r="O34" s="83">
        <f>(AVERAGE(O32:O33)*10000)/1000</f>
        <v>0.14573741371026386</v>
      </c>
      <c r="P34" s="84" t="s">
        <v>32</v>
      </c>
      <c r="Q34" s="83">
        <f>(AVERAGE(Q32:Q33)*10000)/1000</f>
        <v>5.769448937405974E-3</v>
      </c>
      <c r="R34" s="85" t="s">
        <v>32</v>
      </c>
    </row>
    <row r="35" spans="1:21">
      <c r="I35" s="21" t="s">
        <v>102</v>
      </c>
      <c r="J35" s="84" t="s">
        <v>32</v>
      </c>
      <c r="K35" s="84" t="s">
        <v>32</v>
      </c>
      <c r="L35" s="84" t="s">
        <v>32</v>
      </c>
      <c r="M35" s="84" t="s">
        <v>32</v>
      </c>
      <c r="N35" s="86">
        <f>(AVERAGE(N32:N33)*10000)/1000</f>
        <v>1.4624608738879525</v>
      </c>
      <c r="O35" s="84" t="s">
        <v>32</v>
      </c>
      <c r="P35" s="86">
        <f>(AVERAGE(P32:P33)*10000)/1000</f>
        <v>1.2</v>
      </c>
      <c r="Q35" s="84" t="s">
        <v>32</v>
      </c>
      <c r="R35" s="87">
        <f>(AVERAGE(R32:R33)*10000)/1000</f>
        <v>3.79</v>
      </c>
    </row>
    <row r="36" spans="1:21">
      <c r="E36" s="41"/>
      <c r="I36" s="21"/>
      <c r="J36" s="16"/>
      <c r="K36" s="16"/>
      <c r="L36" s="16"/>
      <c r="M36" s="22"/>
      <c r="N36" s="22"/>
      <c r="O36" s="22"/>
      <c r="P36" s="22"/>
      <c r="Q36" s="22"/>
      <c r="R36" s="52"/>
    </row>
    <row r="37" spans="1:21">
      <c r="I37" s="8" t="s">
        <v>103</v>
      </c>
      <c r="J37" s="16"/>
      <c r="K37" s="16"/>
      <c r="L37" s="16"/>
      <c r="M37" s="22"/>
      <c r="N37" s="22"/>
      <c r="O37" s="22"/>
      <c r="P37" s="22"/>
      <c r="Q37" s="22"/>
      <c r="R37" s="52"/>
    </row>
    <row r="38" spans="1:21">
      <c r="I38" s="21" t="s">
        <v>104</v>
      </c>
      <c r="J38" s="88">
        <f>(AVERAGE(J25)-(AVERAGE(J32:J33)))</f>
        <v>1.7072541537010082</v>
      </c>
      <c r="K38" s="88">
        <f>(AVERAGE(K25)-(AVERAGE(K32:K33)))</f>
        <v>0.76276961478647853</v>
      </c>
      <c r="L38" s="88">
        <f>(AVERAGE(L25)-(AVERAGE(L32:L33)))</f>
        <v>1.4872571432029797</v>
      </c>
      <c r="M38" s="65">
        <f>(AVERAGE(M25)-(AVERAGE(M32:M33)))</f>
        <v>1.2597138489188531</v>
      </c>
      <c r="N38" s="65" t="s">
        <v>23</v>
      </c>
      <c r="O38" s="65">
        <f>(AVERAGE(O25)-(AVERAGE(O32:O33)))</f>
        <v>1.5505494413947793</v>
      </c>
      <c r="P38" s="65"/>
      <c r="Q38" s="65">
        <f>Q25-AVERAGE(Q32:Q33)*10</f>
        <v>1.737768330236376</v>
      </c>
      <c r="R38" s="66"/>
      <c r="S38" t="str">
        <f>ROUND(J38,2)&amp;" ("&amp;ROUND(J43,2)*100&amp;"%"&amp;")"</f>
        <v>1.71 (-2%)</v>
      </c>
      <c r="T38" t="str">
        <f t="shared" ref="S38:U41" si="1">ROUND(K38,2)&amp;" ("&amp;ROUND(K43,2)*100&amp;"%"&amp;")"</f>
        <v>0.76 (-5%)</v>
      </c>
      <c r="U38" t="str">
        <f t="shared" si="1"/>
        <v>1.49 (0%)</v>
      </c>
    </row>
    <row r="39" spans="1:21">
      <c r="I39" s="21" t="s">
        <v>105</v>
      </c>
      <c r="J39" s="88">
        <f>J22-(AVERAGE(J32:J33))</f>
        <v>1.5691000000000004</v>
      </c>
      <c r="K39" s="88">
        <f>K22-(AVERAGE(K32:K33))</f>
        <v>0.76650000000000007</v>
      </c>
      <c r="L39" s="88">
        <f>L22-(AVERAGE(L32:L33))</f>
        <v>1.4632620000000001</v>
      </c>
      <c r="M39" s="65">
        <f>M22-(AVERAGE(M32:M33))</f>
        <v>1.2307564457730495</v>
      </c>
      <c r="N39" s="65" t="s">
        <v>23</v>
      </c>
      <c r="O39" s="65">
        <f>O22-AVERAGE(O32:O33)</f>
        <v>1.3938662586289736</v>
      </c>
      <c r="P39" s="65"/>
      <c r="Q39" s="65">
        <f>Q22</f>
        <v>1.6632</v>
      </c>
      <c r="R39" s="66"/>
      <c r="S39" t="str">
        <f t="shared" si="1"/>
        <v>1.57 (-10%)</v>
      </c>
      <c r="T39" t="str">
        <f t="shared" si="1"/>
        <v>0.77 (-5%)</v>
      </c>
      <c r="U39" t="str">
        <f t="shared" si="1"/>
        <v>1.46 (-2%)</v>
      </c>
    </row>
    <row r="40" spans="1:21">
      <c r="I40" s="21" t="s">
        <v>106</v>
      </c>
      <c r="J40" s="88">
        <f>J23-(AVERAGE(J32:J33))</f>
        <v>1.6257999999999999</v>
      </c>
      <c r="K40" s="88">
        <f>K23-(AVERAGE(K32:K33))</f>
        <v>0.72352476190476189</v>
      </c>
      <c r="L40" s="88">
        <f>L23-(AVERAGE(L32:L33))</f>
        <v>1.5326469473684208</v>
      </c>
      <c r="M40" s="65">
        <f>M23-(AVERAGE(M32:M33))</f>
        <v>0.95490844577304923</v>
      </c>
      <c r="N40" s="65" t="s">
        <v>23</v>
      </c>
      <c r="O40" s="65">
        <f>O23-AVERAGE(O32:O33)</f>
        <v>1.2932595919623071</v>
      </c>
      <c r="P40" s="65"/>
      <c r="Q40" s="65">
        <f>Q23</f>
        <v>1.3987482352941178</v>
      </c>
      <c r="R40" s="66"/>
      <c r="S40" t="str">
        <f t="shared" si="1"/>
        <v>1.63 (-7%)</v>
      </c>
      <c r="T40" t="str">
        <f t="shared" si="1"/>
        <v>0.72 (-10%)</v>
      </c>
      <c r="U40" t="str">
        <f t="shared" si="1"/>
        <v>1.53 (3%)</v>
      </c>
    </row>
    <row r="41" spans="1:21">
      <c r="I41" s="21" t="s">
        <v>107</v>
      </c>
      <c r="J41" s="88">
        <f>J24-AVERAGE(J32:J33)</f>
        <v>1.137339412953313</v>
      </c>
      <c r="K41" s="88">
        <f>K24-AVERAGE(K32:K33)</f>
        <v>0.77922595712710996</v>
      </c>
      <c r="L41" s="88">
        <f>L24-AVERAGE(L32:L33)</f>
        <v>0.98834387130006085</v>
      </c>
      <c r="M41" s="65">
        <f>M24-AVERAGE(M32:M33)</f>
        <v>0.90263064717568053</v>
      </c>
      <c r="N41" s="65" t="s">
        <v>23</v>
      </c>
      <c r="O41" s="65">
        <f>O24-AVERAGE(O32:O33)</f>
        <v>2.3700303807418264</v>
      </c>
      <c r="P41" s="65"/>
      <c r="Q41" s="65">
        <f>Q24</f>
        <v>2.0432370384541798</v>
      </c>
      <c r="R41" s="66"/>
      <c r="S41" t="str">
        <f t="shared" si="1"/>
        <v>1.14 (-35%)</v>
      </c>
      <c r="T41" t="str">
        <f t="shared" si="1"/>
        <v>0.78 (-3%)</v>
      </c>
      <c r="U41" t="str">
        <f t="shared" si="1"/>
        <v>0.99 (-34%)</v>
      </c>
    </row>
    <row r="42" spans="1:21">
      <c r="I42" s="21" t="s">
        <v>108</v>
      </c>
      <c r="J42" s="88">
        <f>'[2]Coral taxa average rates'!$D$216*'[2]Coral taxa average rates'!$F$216 -('[2]Macro-&amp; Microbioerosion rates'!$F$25*1000/10000)</f>
        <v>1.4538932045936144</v>
      </c>
      <c r="K42" s="88">
        <f>'[3]Coral taxa average rates'!$D$216*'[3]Coral taxa average rates'!$F$216 -('[3]Macro-&amp; Microbioerosion rates'!$F$25*1000/10000)</f>
        <v>1.4538932045936144</v>
      </c>
      <c r="L42" s="88">
        <f>'[3]Coral taxa average rates'!$D$216*'[3]Coral taxa average rates'!$F$216 -('[3]Macro-&amp; Microbioerosion rates'!$F$25*1000/10000)</f>
        <v>1.4538932045936144</v>
      </c>
      <c r="M42" s="65">
        <f>'[3]Coral taxa average rates'!$D$216*'[3]Coral taxa average rates'!$F$216 -('[3]Macro-&amp; Microbioerosion rates'!$F$25*1000/10000)</f>
        <v>1.4538932045936144</v>
      </c>
      <c r="N42" s="65" t="s">
        <v>23</v>
      </c>
      <c r="O42" s="65">
        <f>'[3]Coral taxa average rates'!$D$216*'[3]Coral taxa average rates'!$F$216 -('[3]Macro-&amp; Microbioerosion rates'!$F$25*1000/10000)</f>
        <v>1.4538932045936144</v>
      </c>
      <c r="P42" s="65"/>
      <c r="Q42" s="65">
        <f>'[3]Coral taxa average rates'!$D$216*'[3]Coral taxa average rates'!$F$216 -('[3]Macro-&amp; Microbioerosion rates'!$F$25*1000/10000)</f>
        <v>1.4538932045936144</v>
      </c>
      <c r="R42" s="66"/>
    </row>
    <row r="43" spans="1:21">
      <c r="I43" s="21" t="s">
        <v>109</v>
      </c>
      <c r="J43" s="26">
        <f>(J38-J25)/J25</f>
        <v>-1.8680800348061924E-2</v>
      </c>
      <c r="K43" s="26">
        <f>(K38-K25)/K25</f>
        <v>-5.395217580104384E-2</v>
      </c>
      <c r="L43" s="89">
        <f>(L38-L25)/L25</f>
        <v>-3.0165768070920139E-3</v>
      </c>
      <c r="M43" s="28">
        <f>(M38-M25)/M25</f>
        <v>-1.2699532263609139E-2</v>
      </c>
      <c r="N43" s="28" t="s">
        <v>23</v>
      </c>
      <c r="O43" s="28">
        <f>(O38-$O$25)/$O$25</f>
        <v>-9.3115618831179307E-3</v>
      </c>
      <c r="P43" s="28"/>
      <c r="Q43" s="27">
        <f>(Q38-$Q$25)/$Q$25</f>
        <v>-3.3090472752130705E-3</v>
      </c>
      <c r="R43" s="90"/>
    </row>
    <row r="44" spans="1:21">
      <c r="I44" s="21" t="s">
        <v>110</v>
      </c>
      <c r="J44" s="89">
        <f>(J39/J25)-1</f>
        <v>-9.8090959195569316E-2</v>
      </c>
      <c r="K44" s="89">
        <f>(K39/K25)-1</f>
        <v>-4.9325453988502965E-2</v>
      </c>
      <c r="L44" s="89">
        <f>(L39/L25)-1</f>
        <v>-1.9101730689083385E-2</v>
      </c>
      <c r="M44" s="28">
        <f>(M39/M25)-1</f>
        <v>-3.5394890971318871E-2</v>
      </c>
      <c r="N44" s="28" t="s">
        <v>23</v>
      </c>
      <c r="O44" s="28">
        <f>(O39-$O$25)/$O$25</f>
        <v>-0.10942073187759928</v>
      </c>
      <c r="P44" s="28"/>
      <c r="Q44" s="28">
        <f>(Q39-$Q$25)/$Q$25</f>
        <v>-4.6077452483910077E-2</v>
      </c>
      <c r="R44" s="51"/>
    </row>
    <row r="45" spans="1:21">
      <c r="I45" s="21" t="s">
        <v>111</v>
      </c>
      <c r="J45" s="89">
        <f>(J40/J25)-1</f>
        <v>-6.550014751141231E-2</v>
      </c>
      <c r="K45" s="89">
        <f>(K40/K25)-1</f>
        <v>-0.1026267781449629</v>
      </c>
      <c r="L45" s="89">
        <f>(L40/L25)-1</f>
        <v>2.7410496642667814E-2</v>
      </c>
      <c r="M45" s="28">
        <f>(M40/M25)-1</f>
        <v>-0.2515907037409314</v>
      </c>
      <c r="N45" s="28" t="s">
        <v>23</v>
      </c>
      <c r="O45" s="28">
        <f>(O40-$O$25)/$O$25</f>
        <v>-0.17370108231549872</v>
      </c>
      <c r="P45" s="28"/>
      <c r="Q45" s="28">
        <f>(Q40-$Q$25)/$Q$25</f>
        <v>-0.19775283793566614</v>
      </c>
      <c r="R45" s="51"/>
    </row>
    <row r="46" spans="1:21" ht="16" thickBot="1">
      <c r="I46" s="60" t="s">
        <v>112</v>
      </c>
      <c r="J46" s="91">
        <f>(J41/J25)-1</f>
        <v>-0.34626429226575961</v>
      </c>
      <c r="K46" s="91">
        <f>(K41/K25)-1</f>
        <v>-3.3541705111298836E-2</v>
      </c>
      <c r="L46" s="91">
        <f>(L41/L25)-1</f>
        <v>-0.33746328897881517</v>
      </c>
      <c r="M46" s="92">
        <f>(M41/M25)-1</f>
        <v>-0.29256341754550574</v>
      </c>
      <c r="N46" s="92" t="s">
        <v>23</v>
      </c>
      <c r="O46" s="92">
        <f>(O41-$O$25)/$O$25</f>
        <v>0.51427721909634605</v>
      </c>
      <c r="P46" s="92"/>
      <c r="Q46" s="92">
        <f>(Q41-$Q$25)/$Q$25</f>
        <v>0.17189146278345491</v>
      </c>
      <c r="R46" s="93"/>
    </row>
    <row r="47" spans="1:21">
      <c r="B47" s="94" t="s">
        <v>94</v>
      </c>
      <c r="C47" s="95" t="s">
        <v>10</v>
      </c>
      <c r="D47" s="95" t="s">
        <v>11</v>
      </c>
      <c r="E47" s="95" t="s">
        <v>113</v>
      </c>
      <c r="F47" s="95" t="s">
        <v>114</v>
      </c>
      <c r="G47" s="96" t="s">
        <v>115</v>
      </c>
    </row>
    <row r="48" spans="1:21">
      <c r="B48" s="97" t="s">
        <v>116</v>
      </c>
      <c r="C48" s="18">
        <f>E25</f>
        <v>74.727986072613675</v>
      </c>
      <c r="D48" s="19">
        <f>F25</f>
        <v>55.887110445531327</v>
      </c>
      <c r="E48" s="98">
        <v>38752</v>
      </c>
      <c r="F48" s="99">
        <v>1.8</v>
      </c>
      <c r="G48" s="48">
        <v>5.9042999999999998E-2</v>
      </c>
    </row>
    <row r="49" spans="2:20">
      <c r="B49" s="97" t="s">
        <v>117</v>
      </c>
      <c r="C49" s="18">
        <v>94.931233753217839</v>
      </c>
      <c r="D49" s="19">
        <v>79.752994968006078</v>
      </c>
      <c r="E49" s="98">
        <v>38151</v>
      </c>
      <c r="F49" s="99">
        <v>1.4</v>
      </c>
      <c r="G49" s="48">
        <v>7.5008000000000005E-2</v>
      </c>
    </row>
    <row r="50" spans="2:20" ht="16" thickBot="1">
      <c r="B50" s="100" t="s">
        <v>118</v>
      </c>
      <c r="C50" s="101">
        <v>90.308229999999995</v>
      </c>
      <c r="D50" s="102">
        <v>50.828859999999999</v>
      </c>
      <c r="E50" s="61">
        <v>38089</v>
      </c>
      <c r="F50" s="61">
        <v>2.1</v>
      </c>
      <c r="G50" s="62">
        <v>8.4402000000000005E-2</v>
      </c>
    </row>
    <row r="51" spans="2:20" ht="16" thickBot="1"/>
    <row r="52" spans="2:20">
      <c r="E52" s="103" t="s">
        <v>119</v>
      </c>
      <c r="F52" s="104" t="s">
        <v>120</v>
      </c>
      <c r="G52" s="67">
        <v>2.5</v>
      </c>
      <c r="Q52" s="36" t="s">
        <v>121</v>
      </c>
      <c r="R52" s="37"/>
      <c r="S52" s="105"/>
    </row>
    <row r="53" spans="2:20" ht="16" thickBot="1">
      <c r="E53" s="60"/>
      <c r="F53" s="106" t="s">
        <v>122</v>
      </c>
      <c r="G53" s="62">
        <v>5</v>
      </c>
      <c r="P53" s="13" t="s">
        <v>123</v>
      </c>
      <c r="Q53" s="107"/>
      <c r="R53" s="108"/>
      <c r="S53" s="109" t="s">
        <v>124</v>
      </c>
    </row>
    <row r="54" spans="2:20" ht="16" thickBot="1">
      <c r="P54" s="47">
        <f>AVERAGE(N32+N32,P32,R32)*10</f>
        <v>1.7599826106168681</v>
      </c>
      <c r="Q54" s="110">
        <f>AVERAGE(J35:R35)</f>
        <v>2.1508202912959842</v>
      </c>
      <c r="R54" t="s">
        <v>125</v>
      </c>
      <c r="S54" s="111">
        <f>AVERAGE(N33,P33,R33)*10</f>
        <v>2.8666492772835346</v>
      </c>
    </row>
    <row r="55" spans="2:20" ht="16" thickBot="1">
      <c r="B55" s="94" t="s">
        <v>94</v>
      </c>
      <c r="C55" s="112" t="s">
        <v>126</v>
      </c>
      <c r="D55" s="112" t="s">
        <v>127</v>
      </c>
      <c r="E55" s="112" t="s">
        <v>128</v>
      </c>
      <c r="F55" s="113" t="s">
        <v>129</v>
      </c>
      <c r="P55" s="47">
        <f>AVERAGE(J32,K32,L32,Q32,M32,O32)*10</f>
        <v>0.17204821377628646</v>
      </c>
      <c r="Q55" s="114">
        <f>AVERAGE(J34:R34)</f>
        <v>0.1864237341528627</v>
      </c>
      <c r="R55" s="61" t="s">
        <v>130</v>
      </c>
      <c r="S55" s="47">
        <f>AVERAGE($J$33,$K$33,$L$33,$Q$33,$M$33,$O$33)*10</f>
        <v>0.20079925452943892</v>
      </c>
    </row>
    <row r="56" spans="2:20">
      <c r="B56" s="97" t="s">
        <v>116</v>
      </c>
      <c r="C56" s="72">
        <f>587267</f>
        <v>587267</v>
      </c>
      <c r="D56" s="72">
        <f>(C56*(G48^2))/100</f>
        <v>20.472573056146828</v>
      </c>
      <c r="E56" s="72">
        <f>(F48*D48)-C48</f>
        <v>25.868812729342721</v>
      </c>
      <c r="F56" s="48" t="str">
        <f>ROUND((E56/D56/$G$52),2)*10&amp;"-"&amp;ROUND((E56/D56/$G$53),2)*10</f>
        <v>5.1-2.5</v>
      </c>
    </row>
    <row r="57" spans="2:20">
      <c r="B57" s="97" t="s">
        <v>117</v>
      </c>
      <c r="C57" s="72">
        <f>585281+136353+21624</f>
        <v>743258</v>
      </c>
      <c r="D57" s="72">
        <f>(C57*(G49^2))/100</f>
        <v>41.817182071685131</v>
      </c>
      <c r="E57" s="72">
        <f>(F49*D49)-C49</f>
        <v>16.722959201990662</v>
      </c>
      <c r="F57" t="str">
        <f>ROUND((E57/D57/$G$52),2)*10&amp;"-"&amp;ROUND((E57/D57/$G$53),2)*10</f>
        <v>1.6-0.8</v>
      </c>
    </row>
    <row r="58" spans="2:20" ht="16" thickBot="1">
      <c r="B58" s="100" t="s">
        <v>118</v>
      </c>
      <c r="C58" s="61">
        <v>473186</v>
      </c>
      <c r="D58" s="115">
        <f>(C58*(G50^2))/100</f>
        <v>33.708339744463444</v>
      </c>
      <c r="E58" s="115">
        <f>(F50*D50)-C50</f>
        <v>16.432376000000005</v>
      </c>
      <c r="F58" s="61" t="str">
        <f>ROUND((E58/D58/$G$52),2)*10&amp;"-"&amp;ROUND((E58/D58/$G$53),2)*10</f>
        <v>1.9-1</v>
      </c>
    </row>
    <row r="59" spans="2:20">
      <c r="C59" s="12"/>
      <c r="D59" s="12"/>
    </row>
    <row r="60" spans="2:20">
      <c r="B60" s="116"/>
      <c r="C60" s="117"/>
      <c r="D60" s="117"/>
      <c r="E60" s="117"/>
      <c r="F60" s="117"/>
      <c r="G60" s="117"/>
    </row>
    <row r="61" spans="2:20" ht="16" thickBot="1">
      <c r="B61" s="16"/>
      <c r="C61" s="18"/>
      <c r="D61" s="19"/>
      <c r="F61" s="47"/>
      <c r="K61" t="s">
        <v>131</v>
      </c>
    </row>
    <row r="62" spans="2:20">
      <c r="B62" s="118" t="s">
        <v>13</v>
      </c>
      <c r="C62" s="119" t="s">
        <v>116</v>
      </c>
      <c r="D62" s="119" t="s">
        <v>117</v>
      </c>
      <c r="E62" s="120" t="s">
        <v>118</v>
      </c>
      <c r="F62" s="47"/>
      <c r="L62" s="9" t="s">
        <v>14</v>
      </c>
      <c r="M62" s="9" t="s">
        <v>15</v>
      </c>
      <c r="N62" s="9" t="s">
        <v>16</v>
      </c>
      <c r="O62" s="9" t="s">
        <v>17</v>
      </c>
      <c r="P62" s="9" t="s">
        <v>18</v>
      </c>
      <c r="Q62" s="9" t="s">
        <v>19</v>
      </c>
    </row>
    <row r="63" spans="2:20">
      <c r="B63" s="21" t="s">
        <v>10</v>
      </c>
      <c r="C63" s="72">
        <v>74.727986072613675</v>
      </c>
      <c r="D63" s="72">
        <v>94.931233753217839</v>
      </c>
      <c r="E63" s="121">
        <v>90.308229999999995</v>
      </c>
      <c r="K63" s="21" t="s">
        <v>132</v>
      </c>
      <c r="L63" s="63">
        <v>1.7397541537010082</v>
      </c>
      <c r="M63" s="63">
        <v>0.80626961478647852</v>
      </c>
      <c r="N63" s="63">
        <v>1.4917571432029797</v>
      </c>
      <c r="O63" s="122">
        <v>1.28</v>
      </c>
      <c r="P63" s="122">
        <v>1.57</v>
      </c>
      <c r="Q63" s="123">
        <v>1.74</v>
      </c>
      <c r="R63" s="123"/>
      <c r="S63" s="123"/>
      <c r="T63" s="124"/>
    </row>
    <row r="64" spans="2:20">
      <c r="B64" s="21" t="s">
        <v>11</v>
      </c>
      <c r="C64" s="72">
        <v>55.887110445531327</v>
      </c>
      <c r="D64" s="72">
        <v>79.752994968006078</v>
      </c>
      <c r="E64" s="121">
        <v>50.828859999999999</v>
      </c>
      <c r="K64" s="21" t="s">
        <v>133</v>
      </c>
      <c r="L64">
        <v>1.7072541537010082</v>
      </c>
      <c r="M64">
        <v>0.76276961478647853</v>
      </c>
      <c r="N64">
        <v>1.4872571432029797</v>
      </c>
      <c r="O64">
        <v>1.2597138489188531</v>
      </c>
      <c r="P64">
        <v>1.5505494413947793</v>
      </c>
      <c r="Q64">
        <v>1.737768330236376</v>
      </c>
    </row>
    <row r="65" spans="2:17">
      <c r="B65" s="21" t="s">
        <v>113</v>
      </c>
      <c r="C65" s="41">
        <v>38752</v>
      </c>
      <c r="D65" s="41">
        <v>38151</v>
      </c>
      <c r="E65" s="42">
        <v>38089</v>
      </c>
      <c r="K65" s="21" t="s">
        <v>134</v>
      </c>
      <c r="L65">
        <v>1.5691000000000004</v>
      </c>
      <c r="M65">
        <v>0.76650000000000007</v>
      </c>
      <c r="N65">
        <v>1.4632620000000001</v>
      </c>
      <c r="O65">
        <v>1.2307564457730495</v>
      </c>
      <c r="P65">
        <v>1.3938662586289736</v>
      </c>
      <c r="Q65">
        <v>1.6632</v>
      </c>
    </row>
    <row r="66" spans="2:17">
      <c r="B66" t="s">
        <v>135</v>
      </c>
      <c r="C66" s="47">
        <f>E25/F25</f>
        <v>1.3371238104257517</v>
      </c>
      <c r="D66" s="47">
        <f>E19/F19</f>
        <v>1.1903155961892178</v>
      </c>
      <c r="E66" s="47">
        <f>E32/F32</f>
        <v>1.7767116948914454</v>
      </c>
      <c r="K66" s="21" t="s">
        <v>136</v>
      </c>
      <c r="L66">
        <v>1.6257999999999999</v>
      </c>
      <c r="M66">
        <v>0.72352476190476189</v>
      </c>
      <c r="N66">
        <v>1.5326469473684208</v>
      </c>
      <c r="O66">
        <v>0.95490844577304923</v>
      </c>
      <c r="P66">
        <v>1.2932595919623071</v>
      </c>
      <c r="Q66">
        <v>1.3987482352941178</v>
      </c>
    </row>
    <row r="67" spans="2:17">
      <c r="B67" s="21" t="s">
        <v>114</v>
      </c>
      <c r="C67" s="47">
        <v>1.8</v>
      </c>
      <c r="D67" s="47">
        <v>1.4</v>
      </c>
      <c r="E67" s="111">
        <v>2.1</v>
      </c>
      <c r="K67" s="21" t="s">
        <v>137</v>
      </c>
      <c r="L67">
        <v>1.137339412953313</v>
      </c>
      <c r="M67">
        <v>0.77922595712710996</v>
      </c>
      <c r="N67">
        <v>0.98834387130006085</v>
      </c>
      <c r="O67">
        <v>0.90263064717568053</v>
      </c>
      <c r="P67">
        <v>2.3700303807418264</v>
      </c>
      <c r="Q67">
        <v>2.0432370384541798</v>
      </c>
    </row>
    <row r="68" spans="2:17">
      <c r="B68" s="21" t="s">
        <v>115</v>
      </c>
      <c r="C68" s="125">
        <v>5.9042999999999998E-2</v>
      </c>
      <c r="D68" s="125">
        <v>7.5008000000000005E-2</v>
      </c>
      <c r="E68" s="126">
        <v>8.4402000000000005E-2</v>
      </c>
    </row>
    <row r="69" spans="2:17">
      <c r="B69" s="21" t="s">
        <v>126</v>
      </c>
      <c r="C69" s="72">
        <v>587267</v>
      </c>
      <c r="D69" s="72">
        <v>743258</v>
      </c>
      <c r="E69" s="121">
        <v>473186</v>
      </c>
    </row>
    <row r="70" spans="2:17">
      <c r="B70" s="21" t="s">
        <v>127</v>
      </c>
      <c r="C70" s="72">
        <v>20.472573056146828</v>
      </c>
      <c r="D70" s="72">
        <v>41.817182071685131</v>
      </c>
      <c r="E70" s="121">
        <v>33.708339744463444</v>
      </c>
    </row>
    <row r="71" spans="2:17">
      <c r="B71" s="21" t="s">
        <v>128</v>
      </c>
      <c r="C71" s="72">
        <v>25.8688127293427</v>
      </c>
      <c r="D71" s="72">
        <v>16.722959201990662</v>
      </c>
      <c r="E71" s="121">
        <v>16.432376000000005</v>
      </c>
    </row>
    <row r="72" spans="2:17" ht="16" thickBot="1">
      <c r="B72" s="60" t="s">
        <v>129</v>
      </c>
      <c r="C72" s="80" t="s">
        <v>138</v>
      </c>
      <c r="D72" s="80" t="s">
        <v>139</v>
      </c>
      <c r="E72" s="127" t="s">
        <v>140</v>
      </c>
    </row>
  </sheetData>
  <mergeCells count="120">
    <mergeCell ref="M46:N46"/>
    <mergeCell ref="O46:P46"/>
    <mergeCell ref="Q46:R46"/>
    <mergeCell ref="M44:N44"/>
    <mergeCell ref="O44:P44"/>
    <mergeCell ref="Q44:R44"/>
    <mergeCell ref="M45:N45"/>
    <mergeCell ref="O45:P45"/>
    <mergeCell ref="Q45:R45"/>
    <mergeCell ref="M42:N42"/>
    <mergeCell ref="O42:P42"/>
    <mergeCell ref="Q42:R42"/>
    <mergeCell ref="M43:N43"/>
    <mergeCell ref="O43:P43"/>
    <mergeCell ref="Q43:R43"/>
    <mergeCell ref="M40:N40"/>
    <mergeCell ref="O40:P40"/>
    <mergeCell ref="Q40:R40"/>
    <mergeCell ref="M41:N41"/>
    <mergeCell ref="O41:P41"/>
    <mergeCell ref="Q41:R41"/>
    <mergeCell ref="M38:N38"/>
    <mergeCell ref="O38:P38"/>
    <mergeCell ref="Q38:R38"/>
    <mergeCell ref="M39:N39"/>
    <mergeCell ref="O39:P39"/>
    <mergeCell ref="Q39:R39"/>
    <mergeCell ref="A30:A34"/>
    <mergeCell ref="M36:N36"/>
    <mergeCell ref="O36:P36"/>
    <mergeCell ref="Q36:R36"/>
    <mergeCell ref="M37:N37"/>
    <mergeCell ref="O37:P37"/>
    <mergeCell ref="Q37:R37"/>
    <mergeCell ref="M27:N27"/>
    <mergeCell ref="O27:P27"/>
    <mergeCell ref="Q27:R27"/>
    <mergeCell ref="M28:N28"/>
    <mergeCell ref="O28:P28"/>
    <mergeCell ref="Q28:R28"/>
    <mergeCell ref="M24:N24"/>
    <mergeCell ref="O24:P24"/>
    <mergeCell ref="Q24:R24"/>
    <mergeCell ref="A25:A28"/>
    <mergeCell ref="M25:N25"/>
    <mergeCell ref="O25:P25"/>
    <mergeCell ref="Q25:R25"/>
    <mergeCell ref="M26:N26"/>
    <mergeCell ref="O26:P26"/>
    <mergeCell ref="Q26:R26"/>
    <mergeCell ref="M22:N22"/>
    <mergeCell ref="O22:P22"/>
    <mergeCell ref="Q22:R22"/>
    <mergeCell ref="M23:N23"/>
    <mergeCell ref="O23:P23"/>
    <mergeCell ref="Q23:R23"/>
    <mergeCell ref="A19:A23"/>
    <mergeCell ref="M19:N19"/>
    <mergeCell ref="O19:P19"/>
    <mergeCell ref="Q19:R19"/>
    <mergeCell ref="M20:N20"/>
    <mergeCell ref="O20:P20"/>
    <mergeCell ref="Q20:R20"/>
    <mergeCell ref="M21:N21"/>
    <mergeCell ref="O21:P21"/>
    <mergeCell ref="Q21:R21"/>
    <mergeCell ref="M17:N17"/>
    <mergeCell ref="O17:P17"/>
    <mergeCell ref="Q17:R17"/>
    <mergeCell ref="M18:N18"/>
    <mergeCell ref="O18:P18"/>
    <mergeCell ref="Q18:R18"/>
    <mergeCell ref="M14:N14"/>
    <mergeCell ref="O14:P14"/>
    <mergeCell ref="Q14:R14"/>
    <mergeCell ref="A15:A17"/>
    <mergeCell ref="M15:N15"/>
    <mergeCell ref="O15:P15"/>
    <mergeCell ref="Q15:R15"/>
    <mergeCell ref="M16:N16"/>
    <mergeCell ref="O16:P16"/>
    <mergeCell ref="Q16:R16"/>
    <mergeCell ref="M12:N12"/>
    <mergeCell ref="O12:P12"/>
    <mergeCell ref="Q12:R12"/>
    <mergeCell ref="M13:N13"/>
    <mergeCell ref="O13:P13"/>
    <mergeCell ref="Q13:R13"/>
    <mergeCell ref="M10:N10"/>
    <mergeCell ref="O10:P10"/>
    <mergeCell ref="Q10:R10"/>
    <mergeCell ref="M11:N11"/>
    <mergeCell ref="O11:P11"/>
    <mergeCell ref="Q11:R11"/>
    <mergeCell ref="M7:N7"/>
    <mergeCell ref="O7:P7"/>
    <mergeCell ref="Q7:R7"/>
    <mergeCell ref="A8:A13"/>
    <mergeCell ref="M8:N8"/>
    <mergeCell ref="O8:P8"/>
    <mergeCell ref="Q8:R8"/>
    <mergeCell ref="M9:N9"/>
    <mergeCell ref="O9:P9"/>
    <mergeCell ref="Q9:R9"/>
    <mergeCell ref="A4:A6"/>
    <mergeCell ref="M4:N4"/>
    <mergeCell ref="O4:P4"/>
    <mergeCell ref="Q4:R4"/>
    <mergeCell ref="M5:N5"/>
    <mergeCell ref="O5:P5"/>
    <mergeCell ref="Q5:R5"/>
    <mergeCell ref="M6:N6"/>
    <mergeCell ref="O6:P6"/>
    <mergeCell ref="Q6:R6"/>
    <mergeCell ref="M2:N2"/>
    <mergeCell ref="O2:P2"/>
    <mergeCell ref="Q2:R2"/>
    <mergeCell ref="M3:N3"/>
    <mergeCell ref="O3:P3"/>
    <mergeCell ref="Q3:R3"/>
  </mergeCells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Tables and Budgets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Leonardo Bertini</dc:creator>
  <cp:lastModifiedBy>Leonardo Bertini</cp:lastModifiedBy>
  <dcterms:created xsi:type="dcterms:W3CDTF">2024-10-07T16:44:02Z</dcterms:created>
  <dcterms:modified xsi:type="dcterms:W3CDTF">2024-10-07T16:46:14Z</dcterms:modified>
</cp:coreProperties>
</file>